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Professionel\CIVIL_511\2025\Chapitre 11\Exercice_11\"/>
    </mc:Choice>
  </mc:AlternateContent>
  <xr:revisionPtr revIDLastSave="0" documentId="13_ncr:1_{03C5DB13-9932-4022-BDB2-D5A323A503AF}" xr6:coauthVersionLast="47" xr6:coauthVersionMax="47" xr10:uidLastSave="{00000000-0000-0000-0000-000000000000}"/>
  <bookViews>
    <workbookView xWindow="1890" yWindow="330" windowWidth="35550" windowHeight="19500" activeTab="2" xr2:uid="{EE809D8A-B8C1-4E03-BCF5-96A86C870CB8}"/>
  </bookViews>
  <sheets>
    <sheet name="ULS - Only RC - Characteristic" sheetId="7" r:id="rId1"/>
    <sheet name="ULS - Characteristic" sheetId="6" r:id="rId2"/>
    <sheet name="ULS - design" sheetId="5" r:id="rId3"/>
  </sheets>
  <definedNames>
    <definedName name="solver_adj" localSheetId="1" hidden="1">'ULS - Characteristic'!$I$10</definedName>
    <definedName name="solver_adj" localSheetId="2" hidden="1">'ULS - design'!$I$10</definedName>
    <definedName name="solver_adj" localSheetId="0" hidden="1">'ULS - Only RC - Characteristic'!$I$10</definedName>
    <definedName name="solver_cvg" localSheetId="1" hidden="1">0.0001</definedName>
    <definedName name="solver_cvg" localSheetId="2" hidden="1">0.0001</definedName>
    <definedName name="solver_cvg" localSheetId="0" hidden="1">0.0001</definedName>
    <definedName name="solver_drv" localSheetId="1" hidden="1">1</definedName>
    <definedName name="solver_drv" localSheetId="2" hidden="1">1</definedName>
    <definedName name="solver_drv" localSheetId="0" hidden="1">1</definedName>
    <definedName name="solver_eng" localSheetId="1" hidden="1">1</definedName>
    <definedName name="solver_eng" localSheetId="2" hidden="1">1</definedName>
    <definedName name="solver_eng" localSheetId="0" hidden="1">1</definedName>
    <definedName name="solver_est" localSheetId="1" hidden="1">1</definedName>
    <definedName name="solver_est" localSheetId="2" hidden="1">1</definedName>
    <definedName name="solver_est" localSheetId="0" hidden="1">1</definedName>
    <definedName name="solver_itr" localSheetId="1" hidden="1">100</definedName>
    <definedName name="solver_itr" localSheetId="2" hidden="1">100</definedName>
    <definedName name="solver_itr" localSheetId="0" hidden="1">100</definedName>
    <definedName name="solver_lhs1" localSheetId="1" hidden="1">'ULS - Characteristic'!$I$10</definedName>
    <definedName name="solver_lhs1" localSheetId="2" hidden="1">'ULS - design'!$I$10</definedName>
    <definedName name="solver_lhs1" localSheetId="0" hidden="1">'ULS - Only RC - Characteristic'!$I$10</definedName>
    <definedName name="solver_lin" localSheetId="1" hidden="1">2</definedName>
    <definedName name="solver_lin" localSheetId="2" hidden="1">2</definedName>
    <definedName name="solver_lin" localSheetId="0" hidden="1">2</definedName>
    <definedName name="solver_mip" localSheetId="1" hidden="1">2147483647</definedName>
    <definedName name="solver_mip" localSheetId="2" hidden="1">2147483647</definedName>
    <definedName name="solver_mip" localSheetId="0" hidden="1">2147483647</definedName>
    <definedName name="solver_mni" localSheetId="1" hidden="1">30</definedName>
    <definedName name="solver_mni" localSheetId="2" hidden="1">30</definedName>
    <definedName name="solver_mni" localSheetId="0" hidden="1">30</definedName>
    <definedName name="solver_mrt" localSheetId="1" hidden="1">0.075</definedName>
    <definedName name="solver_mrt" localSheetId="2" hidden="1">0.075</definedName>
    <definedName name="solver_mrt" localSheetId="0" hidden="1">0.075</definedName>
    <definedName name="solver_msl" localSheetId="1" hidden="1">2</definedName>
    <definedName name="solver_msl" localSheetId="2" hidden="1">2</definedName>
    <definedName name="solver_msl" localSheetId="0" hidden="1">2</definedName>
    <definedName name="solver_neg" localSheetId="1" hidden="1">2</definedName>
    <definedName name="solver_neg" localSheetId="2" hidden="1">2</definedName>
    <definedName name="solver_neg" localSheetId="0" hidden="1">2</definedName>
    <definedName name="solver_nod" localSheetId="1" hidden="1">2147483647</definedName>
    <definedName name="solver_nod" localSheetId="2" hidden="1">2147483647</definedName>
    <definedName name="solver_nod" localSheetId="0" hidden="1">2147483647</definedName>
    <definedName name="solver_num" localSheetId="1" hidden="1">1</definedName>
    <definedName name="solver_num" localSheetId="2" hidden="1">1</definedName>
    <definedName name="solver_num" localSheetId="0" hidden="1">1</definedName>
    <definedName name="solver_nwt" localSheetId="1" hidden="1">1</definedName>
    <definedName name="solver_nwt" localSheetId="2" hidden="1">1</definedName>
    <definedName name="solver_nwt" localSheetId="0" hidden="1">1</definedName>
    <definedName name="solver_opt" localSheetId="1" hidden="1">'ULS - Characteristic'!$M$19</definedName>
    <definedName name="solver_opt" localSheetId="2" hidden="1">'ULS - design'!$M$19</definedName>
    <definedName name="solver_opt" localSheetId="0" hidden="1">'ULS - Only RC - Characteristic'!$M$19</definedName>
    <definedName name="solver_pre" localSheetId="1" hidden="1">0.000001</definedName>
    <definedName name="solver_pre" localSheetId="2" hidden="1">0.000001</definedName>
    <definedName name="solver_pre" localSheetId="0" hidden="1">0.000001</definedName>
    <definedName name="solver_rbv" localSheetId="1" hidden="1">1</definedName>
    <definedName name="solver_rbv" localSheetId="2" hidden="1">1</definedName>
    <definedName name="solver_rbv" localSheetId="0" hidden="1">1</definedName>
    <definedName name="solver_rel1" localSheetId="1" hidden="1">3</definedName>
    <definedName name="solver_rel1" localSheetId="2" hidden="1">3</definedName>
    <definedName name="solver_rel1" localSheetId="0" hidden="1">3</definedName>
    <definedName name="solver_rhs1" localSheetId="1" hidden="1">0</definedName>
    <definedName name="solver_rhs1" localSheetId="2" hidden="1">0</definedName>
    <definedName name="solver_rhs1" localSheetId="0" hidden="1">0</definedName>
    <definedName name="solver_rlx" localSheetId="1" hidden="1">1</definedName>
    <definedName name="solver_rlx" localSheetId="2" hidden="1">1</definedName>
    <definedName name="solver_rlx" localSheetId="0" hidden="1">1</definedName>
    <definedName name="solver_rsd" localSheetId="1" hidden="1">0</definedName>
    <definedName name="solver_rsd" localSheetId="2" hidden="1">0</definedName>
    <definedName name="solver_rsd" localSheetId="0" hidden="1">0</definedName>
    <definedName name="solver_scl" localSheetId="1" hidden="1">2</definedName>
    <definedName name="solver_scl" localSheetId="2" hidden="1">2</definedName>
    <definedName name="solver_scl" localSheetId="0" hidden="1">2</definedName>
    <definedName name="solver_sho" localSheetId="1" hidden="1">2</definedName>
    <definedName name="solver_sho" localSheetId="2" hidden="1">2</definedName>
    <definedName name="solver_sho" localSheetId="0" hidden="1">2</definedName>
    <definedName name="solver_ssz" localSheetId="1" hidden="1">100</definedName>
    <definedName name="solver_ssz" localSheetId="2" hidden="1">100</definedName>
    <definedName name="solver_ssz" localSheetId="0" hidden="1">100</definedName>
    <definedName name="solver_tim" localSheetId="1" hidden="1">100</definedName>
    <definedName name="solver_tim" localSheetId="2" hidden="1">100</definedName>
    <definedName name="solver_tim" localSheetId="0" hidden="1">100</definedName>
    <definedName name="solver_tol" localSheetId="1" hidden="1">0.05</definedName>
    <definedName name="solver_tol" localSheetId="2" hidden="1">0.05</definedName>
    <definedName name="solver_tol" localSheetId="0" hidden="1">0.05</definedName>
    <definedName name="solver_typ" localSheetId="1" hidden="1">3</definedName>
    <definedName name="solver_typ" localSheetId="2" hidden="1">3</definedName>
    <definedName name="solver_typ" localSheetId="0" hidden="1">3</definedName>
    <definedName name="solver_val" localSheetId="1" hidden="1">0</definedName>
    <definedName name="solver_val" localSheetId="2" hidden="1">0</definedName>
    <definedName name="solver_val" localSheetId="0" hidden="1">0</definedName>
    <definedName name="solver_ver" localSheetId="1" hidden="1">3</definedName>
    <definedName name="solver_ver" localSheetId="2" hidden="1">3</definedName>
    <definedName name="solver_ver" localSheetId="0" hidden="1">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6" l="1"/>
  <c r="K14" i="6"/>
  <c r="M12" i="6"/>
  <c r="O12" i="6"/>
  <c r="J13" i="6"/>
  <c r="K13" i="6"/>
  <c r="M13" i="6"/>
  <c r="O13" i="6"/>
  <c r="J16" i="6"/>
  <c r="K16" i="6"/>
  <c r="M16" i="6"/>
  <c r="O16" i="6"/>
  <c r="J18" i="6"/>
  <c r="K18" i="6"/>
  <c r="M18" i="6"/>
  <c r="I18" i="6"/>
  <c r="O18" i="6"/>
  <c r="O19" i="6"/>
  <c r="J18" i="7"/>
  <c r="I17" i="7"/>
  <c r="A17" i="7"/>
  <c r="J16" i="7"/>
  <c r="K16" i="7"/>
  <c r="M16" i="7"/>
  <c r="O16" i="7"/>
  <c r="I16" i="7"/>
  <c r="D16" i="7"/>
  <c r="A16" i="7"/>
  <c r="J14" i="7"/>
  <c r="A14" i="7"/>
  <c r="I13" i="7"/>
  <c r="A13" i="7"/>
  <c r="D13" i="7"/>
  <c r="I12" i="7"/>
  <c r="A12" i="7"/>
  <c r="O7" i="7"/>
  <c r="I18" i="7"/>
  <c r="M7" i="7"/>
  <c r="G6" i="7"/>
  <c r="L5" i="7"/>
  <c r="O5" i="7"/>
  <c r="K12" i="7"/>
  <c r="G5" i="7"/>
  <c r="I17" i="6"/>
  <c r="A17" i="6"/>
  <c r="I16" i="6"/>
  <c r="D16" i="6"/>
  <c r="A16" i="6"/>
  <c r="A14" i="6"/>
  <c r="I13" i="6"/>
  <c r="A13" i="6"/>
  <c r="D13" i="6"/>
  <c r="I12" i="6"/>
  <c r="A12" i="6"/>
  <c r="M7" i="6"/>
  <c r="O7" i="6"/>
  <c r="G6" i="6"/>
  <c r="L5" i="6"/>
  <c r="O5" i="6"/>
  <c r="K12" i="6"/>
  <c r="G5" i="6"/>
  <c r="M7" i="5"/>
  <c r="O7" i="5"/>
  <c r="G6" i="5"/>
  <c r="G5" i="5"/>
  <c r="L5" i="5"/>
  <c r="O5" i="5"/>
  <c r="K12" i="5"/>
  <c r="I17" i="5"/>
  <c r="A17" i="5"/>
  <c r="J18" i="5"/>
  <c r="I16" i="5"/>
  <c r="J16" i="5"/>
  <c r="D16" i="5"/>
  <c r="A16" i="5"/>
  <c r="J14" i="5"/>
  <c r="A14" i="5"/>
  <c r="I13" i="5"/>
  <c r="J13" i="5"/>
  <c r="D13" i="5"/>
  <c r="A13" i="5"/>
  <c r="I12" i="5"/>
  <c r="A12" i="5"/>
  <c r="K16" i="5"/>
  <c r="M16" i="5"/>
  <c r="O16" i="5"/>
  <c r="I18" i="5"/>
  <c r="K14" i="5"/>
  <c r="M12" i="5"/>
  <c r="O12" i="5"/>
  <c r="K13" i="5"/>
  <c r="M13" i="5"/>
  <c r="O13" i="5"/>
  <c r="K18" i="5"/>
  <c r="M18" i="5"/>
  <c r="O18" i="5"/>
  <c r="O19" i="5"/>
  <c r="M19" i="5"/>
  <c r="K14" i="7"/>
  <c r="M12" i="7"/>
  <c r="J13" i="7"/>
  <c r="K13" i="7"/>
  <c r="M13" i="7"/>
  <c r="O13" i="7"/>
  <c r="K18" i="7"/>
  <c r="M18" i="7"/>
  <c r="O18" i="7"/>
  <c r="M19" i="7"/>
  <c r="O12" i="7"/>
  <c r="O19" i="7"/>
  <c r="M19" i="6"/>
</calcChain>
</file>

<file path=xl/sharedStrings.xml><?xml version="1.0" encoding="utf-8"?>
<sst xmlns="http://schemas.openxmlformats.org/spreadsheetml/2006/main" count="222" uniqueCount="68">
  <si>
    <t>x</t>
  </si>
  <si>
    <t>[mm]</t>
  </si>
  <si>
    <t>[kN.m/m]</t>
  </si>
  <si>
    <r>
      <t>S</t>
    </r>
    <r>
      <rPr>
        <sz val="10"/>
        <rFont val="Arial"/>
        <family val="2"/>
      </rPr>
      <t>N</t>
    </r>
  </si>
  <si>
    <r>
      <t>[mm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/m]</t>
    </r>
  </si>
  <si>
    <t>s[mm]</t>
  </si>
  <si>
    <r>
      <t xml:space="preserve">Æ </t>
    </r>
    <r>
      <rPr>
        <sz val="10"/>
        <rFont val="Arial"/>
        <family val="2"/>
      </rPr>
      <t>[mm]</t>
    </r>
  </si>
  <si>
    <r>
      <t>e</t>
    </r>
    <r>
      <rPr>
        <vertAlign val="subscript"/>
        <sz val="10"/>
        <rFont val="Arial"/>
        <family val="2"/>
      </rPr>
      <t>U</t>
    </r>
    <r>
      <rPr>
        <sz val="10"/>
        <rFont val="Arial"/>
        <family val="2"/>
      </rPr>
      <t xml:space="preserve"> [‰]</t>
    </r>
  </si>
  <si>
    <t>c [mm]</t>
  </si>
  <si>
    <r>
      <t>e</t>
    </r>
    <r>
      <rPr>
        <sz val="10"/>
        <rFont val="Arial"/>
        <family val="2"/>
      </rPr>
      <t xml:space="preserve"> [‰]</t>
    </r>
  </si>
  <si>
    <r>
      <t xml:space="preserve">s </t>
    </r>
    <r>
      <rPr>
        <sz val="10"/>
        <rFont val="Arial"/>
        <family val="2"/>
      </rPr>
      <t>[Mpa]</t>
    </r>
  </si>
  <si>
    <r>
      <t>e</t>
    </r>
    <r>
      <rPr>
        <vertAlign val="subscript"/>
        <sz val="8"/>
        <rFont val="Arial"/>
        <family val="2"/>
      </rPr>
      <t>U,elast</t>
    </r>
    <r>
      <rPr>
        <sz val="8"/>
        <rFont val="Arial"/>
        <family val="2"/>
      </rPr>
      <t xml:space="preserve"> [‰]</t>
    </r>
  </si>
  <si>
    <r>
      <t>e</t>
    </r>
    <r>
      <rPr>
        <vertAlign val="subscript"/>
        <sz val="8"/>
        <rFont val="Arial"/>
        <family val="2"/>
      </rPr>
      <t>b,elast</t>
    </r>
    <r>
      <rPr>
        <sz val="8"/>
        <rFont val="Arial"/>
        <family val="2"/>
      </rPr>
      <t xml:space="preserve"> [‰]</t>
    </r>
  </si>
  <si>
    <t>Interface</t>
  </si>
  <si>
    <t>[kN/m]</t>
  </si>
  <si>
    <r>
      <t>h</t>
    </r>
    <r>
      <rPr>
        <vertAlign val="subscript"/>
        <sz val="10"/>
        <rFont val="Arial"/>
        <family val="2"/>
      </rPr>
      <t>U</t>
    </r>
  </si>
  <si>
    <r>
      <t>A</t>
    </r>
    <r>
      <rPr>
        <vertAlign val="subscript"/>
        <sz val="10"/>
        <rFont val="Arial"/>
        <family val="2"/>
      </rPr>
      <t>s,U</t>
    </r>
  </si>
  <si>
    <r>
      <t>d</t>
    </r>
    <r>
      <rPr>
        <vertAlign val="subscript"/>
        <sz val="10"/>
        <rFont val="Arial"/>
        <family val="2"/>
      </rPr>
      <t>U</t>
    </r>
  </si>
  <si>
    <r>
      <t>d</t>
    </r>
    <r>
      <rPr>
        <vertAlign val="subscript"/>
        <sz val="10"/>
        <rFont val="Arial"/>
        <family val="2"/>
      </rPr>
      <t>s,U</t>
    </r>
  </si>
  <si>
    <r>
      <t>d</t>
    </r>
    <r>
      <rPr>
        <vertAlign val="subscript"/>
        <sz val="10"/>
        <rFont val="Arial"/>
        <family val="2"/>
      </rPr>
      <t>s,ct</t>
    </r>
  </si>
  <si>
    <r>
      <t>d</t>
    </r>
    <r>
      <rPr>
        <vertAlign val="subscript"/>
        <sz val="10"/>
        <rFont val="Arial"/>
        <family val="2"/>
      </rPr>
      <t>s,cc</t>
    </r>
  </si>
  <si>
    <r>
      <t>x</t>
    </r>
    <r>
      <rPr>
        <vertAlign val="subscript"/>
        <sz val="10"/>
        <rFont val="Arial"/>
        <family val="2"/>
      </rPr>
      <t>n-n</t>
    </r>
  </si>
  <si>
    <r>
      <t>F</t>
    </r>
    <r>
      <rPr>
        <vertAlign val="subscript"/>
        <sz val="10"/>
        <rFont val="Arial"/>
        <family val="2"/>
      </rPr>
      <t>U,t</t>
    </r>
  </si>
  <si>
    <r>
      <t>F</t>
    </r>
    <r>
      <rPr>
        <vertAlign val="subscript"/>
        <sz val="10"/>
        <rFont val="Arial"/>
        <family val="2"/>
      </rPr>
      <t>s,U</t>
    </r>
  </si>
  <si>
    <r>
      <t>F</t>
    </r>
    <r>
      <rPr>
        <vertAlign val="subscript"/>
        <sz val="10"/>
        <rFont val="Arial"/>
        <family val="2"/>
      </rPr>
      <t>s,ct</t>
    </r>
  </si>
  <si>
    <r>
      <t>F</t>
    </r>
    <r>
      <rPr>
        <vertAlign val="subscript"/>
        <sz val="10"/>
        <rFont val="Arial"/>
        <family val="2"/>
      </rPr>
      <t>cc</t>
    </r>
  </si>
  <si>
    <t xml:space="preserve">Resisting moment </t>
  </si>
  <si>
    <t>Hybrid R-UHPFRC / RC member</t>
  </si>
  <si>
    <t>Input values</t>
  </si>
  <si>
    <t>Calculated values</t>
  </si>
  <si>
    <t>UHPFRC</t>
  </si>
  <si>
    <t>Concrete</t>
  </si>
  <si>
    <r>
      <t>e</t>
    </r>
    <r>
      <rPr>
        <vertAlign val="subscript"/>
        <sz val="10"/>
        <rFont val="Arial"/>
        <family val="2"/>
      </rPr>
      <t>S max</t>
    </r>
    <r>
      <rPr>
        <sz val="10"/>
        <rFont val="Arial"/>
        <family val="2"/>
      </rPr>
      <t xml:space="preserve"> [‰]</t>
    </r>
  </si>
  <si>
    <t>mU,t</t>
  </si>
  <si>
    <t>ms,U</t>
  </si>
  <si>
    <t>ms,ct</t>
  </si>
  <si>
    <t>mcc</t>
  </si>
  <si>
    <t>Tension UHPFRC</t>
  </si>
  <si>
    <t>Tension As, UHPFRC</t>
  </si>
  <si>
    <t>Tension As, concrete</t>
  </si>
  <si>
    <t>Compression, concrete</t>
  </si>
  <si>
    <r>
      <t>f</t>
    </r>
    <r>
      <rPr>
        <vertAlign val="subscript"/>
        <sz val="10"/>
        <rFont val="Arial"/>
        <family val="2"/>
      </rPr>
      <t>Utuk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</si>
  <si>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Utud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</si>
  <si>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U,t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</si>
  <si>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[MPa]</t>
    </r>
  </si>
  <si>
    <t>Partial safety factors</t>
  </si>
  <si>
    <t>Steel</t>
  </si>
  <si>
    <r>
      <rPr>
        <sz val="10"/>
        <rFont val="Symbol"/>
        <family val="1"/>
        <charset val="2"/>
      </rPr>
      <t>g</t>
    </r>
    <r>
      <rPr>
        <vertAlign val="subscript"/>
        <sz val="10"/>
        <rFont val="Arial"/>
        <family val="2"/>
      </rPr>
      <t>U</t>
    </r>
  </si>
  <si>
    <r>
      <t>g</t>
    </r>
    <r>
      <rPr>
        <vertAlign val="subscript"/>
        <sz val="10"/>
        <rFont val="Calibri"/>
        <family val="2"/>
      </rPr>
      <t>s</t>
    </r>
  </si>
  <si>
    <r>
      <t>g</t>
    </r>
    <r>
      <rPr>
        <vertAlign val="subscript"/>
        <sz val="10"/>
        <rFont val="Calibri"/>
        <family val="2"/>
      </rPr>
      <t>c</t>
    </r>
  </si>
  <si>
    <r>
      <rPr>
        <sz val="10"/>
        <rFont val="Symbol"/>
        <family val="1"/>
        <charset val="2"/>
      </rPr>
      <t>h</t>
    </r>
    <r>
      <rPr>
        <vertAlign val="subscript"/>
        <sz val="10"/>
        <rFont val="Arial"/>
        <family val="2"/>
      </rPr>
      <t>k</t>
    </r>
  </si>
  <si>
    <r>
      <t>A</t>
    </r>
    <r>
      <rPr>
        <vertAlign val="subscript"/>
        <sz val="10"/>
        <rFont val="Arial"/>
        <family val="2"/>
      </rPr>
      <t>sU</t>
    </r>
    <r>
      <rPr>
        <sz val="10"/>
        <rFont val="Arial"/>
        <family val="2"/>
      </rPr>
      <t xml:space="preserve"> UHPFRC</t>
    </r>
  </si>
  <si>
    <t>(CT2052 SIA)</t>
  </si>
  <si>
    <t>Resolution position neutral axis by  EXCEL SOLVER</t>
  </si>
  <si>
    <r>
      <t>A</t>
    </r>
    <r>
      <rPr>
        <vertAlign val="subscript"/>
        <sz val="10"/>
        <rFont val="Arial"/>
        <family val="2"/>
      </rPr>
      <t>sc, act</t>
    </r>
    <r>
      <rPr>
        <sz val="10"/>
        <rFont val="Arial"/>
        <family val="2"/>
      </rPr>
      <t xml:space="preserve"> concrete</t>
    </r>
  </si>
  <si>
    <r>
      <t>A</t>
    </r>
    <r>
      <rPr>
        <vertAlign val="subscript"/>
        <sz val="10"/>
        <rFont val="Arial"/>
        <family val="2"/>
      </rPr>
      <t>s,ct</t>
    </r>
    <r>
      <rPr>
        <sz val="10"/>
        <rFont val="Arial"/>
        <family val="2"/>
      </rPr>
      <t xml:space="preserve">, </t>
    </r>
    <r>
      <rPr>
        <vertAlign val="subscript"/>
        <sz val="10"/>
        <rFont val="Arial"/>
        <family val="2"/>
      </rPr>
      <t>act</t>
    </r>
  </si>
  <si>
    <r>
      <t>m</t>
    </r>
    <r>
      <rPr>
        <b/>
        <vertAlign val="subscript"/>
        <sz val="10"/>
        <rFont val="Arial"/>
        <family val="2"/>
      </rPr>
      <t>R,0</t>
    </r>
    <r>
      <rPr>
        <b/>
        <sz val="10"/>
        <rFont val="Arial"/>
        <family val="2"/>
      </rPr>
      <t>,</t>
    </r>
    <r>
      <rPr>
        <b/>
        <vertAlign val="subscript"/>
        <sz val="10"/>
        <rFont val="Arial"/>
        <family val="2"/>
      </rPr>
      <t xml:space="preserve"> act</t>
    </r>
  </si>
  <si>
    <r>
      <t>f</t>
    </r>
    <r>
      <rPr>
        <vertAlign val="subscript"/>
        <sz val="10"/>
        <rFont val="Arial"/>
        <family val="2"/>
      </rPr>
      <t>sk(act)</t>
    </r>
    <r>
      <rPr>
        <sz val="10"/>
        <rFont val="Arial"/>
        <family val="2"/>
      </rPr>
      <t xml:space="preserve"> [MPa]</t>
    </r>
  </si>
  <si>
    <r>
      <t>m</t>
    </r>
    <r>
      <rPr>
        <b/>
        <vertAlign val="subscript"/>
        <sz val="10"/>
        <rFont val="Arial"/>
        <family val="2"/>
      </rPr>
      <t>R,1</t>
    </r>
    <r>
      <rPr>
        <b/>
        <sz val="10"/>
        <rFont val="Arial"/>
        <family val="2"/>
      </rPr>
      <t xml:space="preserve">, </t>
    </r>
    <r>
      <rPr>
        <b/>
        <vertAlign val="subscript"/>
        <sz val="10"/>
        <rFont val="Arial"/>
        <family val="2"/>
      </rPr>
      <t>act</t>
    </r>
  </si>
  <si>
    <r>
      <t>m</t>
    </r>
    <r>
      <rPr>
        <b/>
        <vertAlign val="subscript"/>
        <sz val="10"/>
        <rFont val="Arial"/>
        <family val="2"/>
      </rPr>
      <t>Rd,1</t>
    </r>
    <r>
      <rPr>
        <b/>
        <sz val="10"/>
        <rFont val="Arial"/>
        <family val="2"/>
      </rPr>
      <t xml:space="preserve">, </t>
    </r>
    <r>
      <rPr>
        <b/>
        <vertAlign val="subscript"/>
        <sz val="10"/>
        <rFont val="Arial"/>
        <family val="2"/>
      </rPr>
      <t>act</t>
    </r>
  </si>
  <si>
    <r>
      <t>h</t>
    </r>
    <r>
      <rPr>
        <vertAlign val="subscript"/>
        <sz val="10"/>
        <rFont val="Arial"/>
        <family val="2"/>
      </rPr>
      <t>c</t>
    </r>
    <r>
      <rPr>
        <sz val="10"/>
        <rFont val="Arial"/>
        <family val="2"/>
      </rPr>
      <t>,</t>
    </r>
    <r>
      <rPr>
        <vertAlign val="subscript"/>
        <sz val="10"/>
        <rFont val="Arial"/>
        <family val="2"/>
      </rPr>
      <t>act</t>
    </r>
  </si>
  <si>
    <r>
      <t>f</t>
    </r>
    <r>
      <rPr>
        <vertAlign val="subscript"/>
        <sz val="10"/>
        <rFont val="Arial"/>
        <family val="2"/>
      </rPr>
      <t>ck,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</si>
  <si>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cd, act</t>
    </r>
    <r>
      <rPr>
        <sz val="10"/>
        <rFont val="Arial"/>
        <family val="2"/>
      </rPr>
      <t xml:space="preserve"> [MPa]</t>
    </r>
  </si>
  <si>
    <r>
      <t>f</t>
    </r>
    <r>
      <rPr>
        <vertAlign val="subscript"/>
        <sz val="10"/>
        <rFont val="Arial"/>
        <family val="2"/>
      </rPr>
      <t>sd(act)</t>
    </r>
    <r>
      <rPr>
        <sz val="10"/>
        <rFont val="Arial"/>
        <family val="2"/>
      </rPr>
      <t xml:space="preserve"> [MPa]</t>
    </r>
  </si>
  <si>
    <r>
      <t>E</t>
    </r>
    <r>
      <rPr>
        <vertAlign val="subscript"/>
        <sz val="10"/>
        <rFont val="Arial"/>
        <family val="2"/>
      </rPr>
      <t>s</t>
    </r>
    <r>
      <rPr>
        <sz val="10"/>
        <rFont val="Arial"/>
        <family val="2"/>
      </rPr>
      <t xml:space="preserve"> [MPa]</t>
    </r>
  </si>
  <si>
    <t>Neutral axis</t>
  </si>
  <si>
    <t>Seek "I10" so that "M19"=0</t>
  </si>
  <si>
    <t>Exe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</si>
</sst>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6">
    <font>
      <sz val="10"/>
      <name val="Arial"/>
    </font>
    <font>
      <b/>
      <sz val="12"/>
      <name val="Arial"/>
      <family val="2"/>
    </font>
    <font>
      <sz val="10"/>
      <name val="Symbol"/>
      <family val="1"/>
      <charset val="2"/>
    </font>
    <font>
      <vertAlign val="superscript"/>
      <sz val="10"/>
      <name val="Arial"/>
      <family val="2"/>
    </font>
    <font>
      <sz val="10"/>
      <name val="Arial"/>
      <family val="2"/>
    </font>
    <font>
      <vertAlign val="subscript"/>
      <sz val="10"/>
      <name val="Arial"/>
      <family val="2"/>
    </font>
    <font>
      <b/>
      <sz val="10"/>
      <color indexed="10"/>
      <name val="Arial"/>
      <family val="2"/>
    </font>
    <font>
      <sz val="8"/>
      <name val="Symbol"/>
      <family val="1"/>
      <charset val="2"/>
    </font>
    <font>
      <sz val="8"/>
      <name val="Arial"/>
      <family val="2"/>
    </font>
    <font>
      <vertAlign val="subscript"/>
      <sz val="8"/>
      <name val="Arial"/>
      <family val="2"/>
    </font>
    <font>
      <sz val="10"/>
      <name val="Arial"/>
      <family val="1"/>
      <charset val="2"/>
    </font>
    <font>
      <vertAlign val="subscript"/>
      <sz val="10"/>
      <name val="Calibri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/>
    <xf numFmtId="0" fontId="0" fillId="2" borderId="0" xfId="0" applyFill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/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right"/>
    </xf>
    <xf numFmtId="165" fontId="0" fillId="3" borderId="0" xfId="0" applyNumberFormat="1" applyFill="1" applyAlignment="1">
      <alignment horizontal="center"/>
    </xf>
    <xf numFmtId="0" fontId="0" fillId="0" borderId="7" xfId="0" applyBorder="1"/>
    <xf numFmtId="0" fontId="0" fillId="0" borderId="6" xfId="0" applyBorder="1" applyAlignment="1">
      <alignment horizontal="left"/>
    </xf>
    <xf numFmtId="165" fontId="0" fillId="2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7" xfId="0" applyNumberFormat="1" applyBorder="1" applyAlignment="1">
      <alignment horizontal="center"/>
    </xf>
    <xf numFmtId="0" fontId="2" fillId="0" borderId="4" xfId="0" applyFont="1" applyBorder="1" applyAlignment="1">
      <alignment horizontal="right"/>
    </xf>
    <xf numFmtId="2" fontId="0" fillId="4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0" fontId="7" fillId="0" borderId="3" xfId="0" applyFont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165" fontId="0" fillId="0" borderId="0" xfId="0" applyNumberFormat="1"/>
    <xf numFmtId="0" fontId="0" fillId="0" borderId="6" xfId="0" applyBorder="1" applyAlignment="1">
      <alignment horizontal="right"/>
    </xf>
    <xf numFmtId="165" fontId="0" fillId="4" borderId="7" xfId="0" applyNumberFormat="1" applyFill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7" xfId="0" applyNumberFormat="1" applyBorder="1"/>
    <xf numFmtId="165" fontId="0" fillId="3" borderId="4" xfId="0" applyNumberForma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/>
    <xf numFmtId="0" fontId="4" fillId="0" borderId="6" xfId="0" applyFont="1" applyBorder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0" fontId="0" fillId="6" borderId="1" xfId="0" applyFill="1" applyBorder="1"/>
    <xf numFmtId="0" fontId="12" fillId="6" borderId="2" xfId="0" applyFont="1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0" xfId="0" applyFill="1"/>
    <xf numFmtId="0" fontId="0" fillId="6" borderId="7" xfId="0" applyFill="1" applyBorder="1"/>
    <xf numFmtId="0" fontId="4" fillId="6" borderId="0" xfId="0" applyFont="1" applyFill="1" applyAlignment="1">
      <alignment horizontal="right"/>
    </xf>
    <xf numFmtId="0" fontId="10" fillId="6" borderId="0" xfId="0" applyFont="1" applyFill="1" applyAlignment="1">
      <alignment horizontal="right"/>
    </xf>
    <xf numFmtId="0" fontId="0" fillId="6" borderId="0" xfId="0" applyFill="1" applyAlignment="1">
      <alignment horizontal="right"/>
    </xf>
    <xf numFmtId="0" fontId="2" fillId="6" borderId="0" xfId="0" applyFont="1" applyFill="1" applyAlignment="1">
      <alignment horizontal="right"/>
    </xf>
    <xf numFmtId="0" fontId="0" fillId="6" borderId="8" xfId="0" applyFill="1" applyBorder="1"/>
    <xf numFmtId="0" fontId="0" fillId="6" borderId="4" xfId="0" applyFill="1" applyBorder="1"/>
    <xf numFmtId="0" fontId="0" fillId="6" borderId="5" xfId="0" applyFill="1" applyBorder="1"/>
    <xf numFmtId="0" fontId="0" fillId="4" borderId="4" xfId="0" applyFill="1" applyBorder="1"/>
    <xf numFmtId="0" fontId="4" fillId="0" borderId="9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2" fillId="0" borderId="11" xfId="0" applyFont="1" applyBorder="1" applyAlignment="1">
      <alignment horizontal="right"/>
    </xf>
    <xf numFmtId="165" fontId="12" fillId="4" borderId="1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1" xfId="0" applyFont="1" applyBorder="1"/>
    <xf numFmtId="0" fontId="0" fillId="0" borderId="13" xfId="0" applyBorder="1"/>
    <xf numFmtId="0" fontId="0" fillId="3" borderId="14" xfId="0" applyFill="1" applyBorder="1" applyAlignment="1">
      <alignment wrapText="1"/>
    </xf>
    <xf numFmtId="0" fontId="14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7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50"/>
              <a:t>Strains distribution over height</a:t>
            </a:r>
          </a:p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 sz="1050"/>
          </a:p>
        </c:rich>
      </c:tx>
      <c:layout>
        <c:manualLayout>
          <c:xMode val="edge"/>
          <c:yMode val="edge"/>
          <c:x val="0.27727302335383258"/>
          <c:y val="4.61827848442021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247615642319142"/>
          <c:y val="0.19213586082881509"/>
          <c:w val="0.69837969631936991"/>
          <c:h val="0.69178684901229448"/>
        </c:manualLayout>
      </c:layout>
      <c:scatterChart>
        <c:scatterStyle val="smoothMarker"/>
        <c:varyColors val="0"/>
        <c:ser>
          <c:idx val="0"/>
          <c:order val="0"/>
          <c:tx>
            <c:v>Strains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'ULS - Only RC - Characteristic'!$A$12:$A$18</c:f>
              <c:numCache>
                <c:formatCode>0.0</c:formatCode>
                <c:ptCount val="7"/>
                <c:pt idx="0">
                  <c:v>180</c:v>
                </c:pt>
                <c:pt idx="1">
                  <c:v>166</c:v>
                </c:pt>
                <c:pt idx="2">
                  <c:v>180</c:v>
                </c:pt>
                <c:pt idx="4">
                  <c:v>180</c:v>
                </c:pt>
                <c:pt idx="5">
                  <c:v>29.937529987411761</c:v>
                </c:pt>
                <c:pt idx="6">
                  <c:v>0</c:v>
                </c:pt>
              </c:numCache>
            </c:numRef>
          </c:xVal>
          <c:yVal>
            <c:numRef>
              <c:f>'ULS - Only RC - Characteristic'!$J$12:$J$18</c:f>
              <c:numCache>
                <c:formatCode>0.00</c:formatCode>
                <c:ptCount val="7"/>
                <c:pt idx="0" formatCode="General">
                  <c:v>5</c:v>
                </c:pt>
                <c:pt idx="1">
                  <c:v>4.5335276035765109</c:v>
                </c:pt>
                <c:pt idx="2">
                  <c:v>5</c:v>
                </c:pt>
                <c:pt idx="4">
                  <c:v>5</c:v>
                </c:pt>
                <c:pt idx="5" formatCode="General">
                  <c:v>0</c:v>
                </c:pt>
                <c:pt idx="6">
                  <c:v>-0.9975022397305735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99E-425D-BB37-9913B70D6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8442191"/>
        <c:axId val="1"/>
      </c:scatterChart>
      <c:valAx>
        <c:axId val="10384421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fr-CH" sz="1000"/>
                  <a:t>Position x [mm]</a:t>
                </a:r>
              </a:p>
            </c:rich>
          </c:tx>
          <c:layout>
            <c:manualLayout>
              <c:xMode val="edge"/>
              <c:yMode val="edge"/>
              <c:x val="0.41258750502902469"/>
              <c:y val="0.9012238374049397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fr-CH" sz="1100"/>
                  <a:t>Strain [</a:t>
                </a:r>
                <a:r>
                  <a:rPr lang="fr-CH" sz="1100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‰]</a:t>
                </a:r>
                <a:endParaRPr lang="fr-CH" sz="1100"/>
              </a:p>
            </c:rich>
          </c:tx>
          <c:layout>
            <c:manualLayout>
              <c:xMode val="edge"/>
              <c:yMode val="edge"/>
              <c:x val="4.4382627354062495E-2"/>
              <c:y val="0.4075143010969782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8442191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805871625027579"/>
          <c:y val="0.2563370027236167"/>
          <c:w val="0.19157686208933136"/>
          <c:h val="6.329308709225103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50"/>
              <a:t>Strains distribution over height</a:t>
            </a:r>
          </a:p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 sz="1050"/>
          </a:p>
        </c:rich>
      </c:tx>
      <c:layout>
        <c:manualLayout>
          <c:xMode val="edge"/>
          <c:yMode val="edge"/>
          <c:x val="0.27727302335383258"/>
          <c:y val="4.61827848442021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247615642319142"/>
          <c:y val="0.19213586082881509"/>
          <c:w val="0.69837969631936991"/>
          <c:h val="0.69178684901229448"/>
        </c:manualLayout>
      </c:layout>
      <c:scatterChart>
        <c:scatterStyle val="smoothMarker"/>
        <c:varyColors val="0"/>
        <c:ser>
          <c:idx val="0"/>
          <c:order val="0"/>
          <c:tx>
            <c:v>Strains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'ULS - Characteristic'!$A$12:$A$18</c:f>
              <c:numCache>
                <c:formatCode>0.0</c:formatCode>
                <c:ptCount val="7"/>
                <c:pt idx="0">
                  <c:v>220</c:v>
                </c:pt>
                <c:pt idx="1">
                  <c:v>200</c:v>
                </c:pt>
                <c:pt idx="2">
                  <c:v>180</c:v>
                </c:pt>
                <c:pt idx="4">
                  <c:v>180</c:v>
                </c:pt>
                <c:pt idx="5">
                  <c:v>70.937007537999989</c:v>
                </c:pt>
                <c:pt idx="6">
                  <c:v>0</c:v>
                </c:pt>
              </c:numCache>
            </c:numRef>
          </c:xVal>
          <c:yVal>
            <c:numRef>
              <c:f>'ULS - Characteristic'!$J$12:$J$18</c:f>
              <c:numCache>
                <c:formatCode>0.00</c:formatCode>
                <c:ptCount val="7"/>
                <c:pt idx="0" formatCode="General">
                  <c:v>5</c:v>
                </c:pt>
                <c:pt idx="1">
                  <c:v>4.3291426775462556</c:v>
                </c:pt>
                <c:pt idx="2">
                  <c:v>3.6582853550925112</c:v>
                </c:pt>
                <c:pt idx="4">
                  <c:v>3.6582853550925112</c:v>
                </c:pt>
                <c:pt idx="5" formatCode="General">
                  <c:v>0</c:v>
                </c:pt>
                <c:pt idx="6">
                  <c:v>-2.3794305469911876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CC-4093-AB2D-9575DDE66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8449871"/>
        <c:axId val="1"/>
      </c:scatterChart>
      <c:valAx>
        <c:axId val="10384498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fr-CH" sz="1000"/>
                  <a:t>Position x [mm]</a:t>
                </a:r>
              </a:p>
            </c:rich>
          </c:tx>
          <c:layout>
            <c:manualLayout>
              <c:xMode val="edge"/>
              <c:yMode val="edge"/>
              <c:x val="0.41258769661091638"/>
              <c:y val="0.9012238374049397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fr-CH" sz="1100"/>
                  <a:t>Strain [</a:t>
                </a:r>
                <a:r>
                  <a:rPr lang="fr-CH" sz="1100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‰]</a:t>
                </a:r>
                <a:endParaRPr lang="fr-CH" sz="1100"/>
              </a:p>
            </c:rich>
          </c:tx>
          <c:layout>
            <c:manualLayout>
              <c:xMode val="edge"/>
              <c:yMode val="edge"/>
              <c:x val="4.4382818935954173E-2"/>
              <c:y val="0.4075143010969782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8449871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805871625027579"/>
          <c:y val="0.2563370027236167"/>
          <c:w val="0.19157686208933136"/>
          <c:h val="6.329308709225103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 sz="1050"/>
              <a:t>Strains distribution over height</a:t>
            </a:r>
          </a:p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 sz="1050"/>
          </a:p>
        </c:rich>
      </c:tx>
      <c:layout>
        <c:manualLayout>
          <c:xMode val="edge"/>
          <c:yMode val="edge"/>
          <c:x val="0.27727302335383258"/>
          <c:y val="4.61827848442021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247615642319142"/>
          <c:y val="0.19213586082881509"/>
          <c:w val="0.69837969631936991"/>
          <c:h val="0.69178684901229448"/>
        </c:manualLayout>
      </c:layout>
      <c:scatterChart>
        <c:scatterStyle val="smoothMarker"/>
        <c:varyColors val="0"/>
        <c:ser>
          <c:idx val="0"/>
          <c:order val="0"/>
          <c:tx>
            <c:v>Strains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'ULS - design'!$A$12:$A$18</c:f>
              <c:numCache>
                <c:formatCode>0.0</c:formatCode>
                <c:ptCount val="7"/>
                <c:pt idx="0">
                  <c:v>220</c:v>
                </c:pt>
                <c:pt idx="1">
                  <c:v>200</c:v>
                </c:pt>
                <c:pt idx="2">
                  <c:v>180</c:v>
                </c:pt>
                <c:pt idx="4">
                  <c:v>180</c:v>
                </c:pt>
                <c:pt idx="5">
                  <c:v>84.915278374373401</c:v>
                </c:pt>
                <c:pt idx="6">
                  <c:v>0</c:v>
                </c:pt>
              </c:numCache>
            </c:numRef>
          </c:xVal>
          <c:yVal>
            <c:numRef>
              <c:f>'ULS - design'!$J$12:$J$18</c:f>
              <c:numCache>
                <c:formatCode>0.00</c:formatCode>
                <c:ptCount val="7"/>
                <c:pt idx="0" formatCode="General">
                  <c:v>5</c:v>
                </c:pt>
                <c:pt idx="1">
                  <c:v>4.2597238325949274</c:v>
                </c:pt>
                <c:pt idx="2">
                  <c:v>3.5194476651898543</c:v>
                </c:pt>
                <c:pt idx="4">
                  <c:v>3.5194476651898543</c:v>
                </c:pt>
                <c:pt idx="5" formatCode="General">
                  <c:v>0</c:v>
                </c:pt>
                <c:pt idx="6">
                  <c:v>-3.1430378414557998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51-4ABE-A43B-A2DBFDF74E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8435951"/>
        <c:axId val="1"/>
      </c:scatterChart>
      <c:valAx>
        <c:axId val="10384359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fr-CH" sz="1000"/>
                  <a:t>Position x [mm]</a:t>
                </a:r>
              </a:p>
            </c:rich>
          </c:tx>
          <c:layout>
            <c:manualLayout>
              <c:xMode val="edge"/>
              <c:yMode val="edge"/>
              <c:x val="0.41258750502902469"/>
              <c:y val="0.9012238374049397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"/>
        <c:crosses val="autoZero"/>
        <c:crossBetween val="midCat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00"/>
                </a:pPr>
                <a:r>
                  <a:rPr lang="fr-CH" sz="1100"/>
                  <a:t>Strain [</a:t>
                </a:r>
                <a:r>
                  <a:rPr lang="fr-CH" sz="1100">
                    <a:latin typeface="Calibri" panose="020F0502020204030204" pitchFamily="34" charset="0"/>
                    <a:ea typeface="Calibri" panose="020F0502020204030204" pitchFamily="34" charset="0"/>
                    <a:cs typeface="Calibri" panose="020F0502020204030204" pitchFamily="34" charset="0"/>
                  </a:rPr>
                  <a:t>‰]</a:t>
                </a:r>
                <a:endParaRPr lang="fr-CH" sz="1100"/>
              </a:p>
            </c:rich>
          </c:tx>
          <c:layout>
            <c:manualLayout>
              <c:xMode val="edge"/>
              <c:yMode val="edge"/>
              <c:x val="4.4382818935954173E-2"/>
              <c:y val="0.4075143010969782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8435951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805871625027579"/>
          <c:y val="0.25950165707822925"/>
          <c:w val="0.19157686208933136"/>
          <c:h val="6.329308709225103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chart" Target="../charts/chart3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20</xdr:row>
      <xdr:rowOff>95250</xdr:rowOff>
    </xdr:from>
    <xdr:to>
      <xdr:col>14</xdr:col>
      <xdr:colOff>485775</xdr:colOff>
      <xdr:row>29</xdr:row>
      <xdr:rowOff>152400</xdr:rowOff>
    </xdr:to>
    <xdr:pic>
      <xdr:nvPicPr>
        <xdr:cNvPr id="20514" name="Picture 2">
          <a:extLst>
            <a:ext uri="{FF2B5EF4-FFF2-40B4-BE49-F238E27FC236}">
              <a16:creationId xmlns:a16="http://schemas.microsoft.com/office/drawing/2014/main" id="{1E42CA28-D4CC-3331-9C55-520C41DBE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876675"/>
          <a:ext cx="358140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495300</xdr:colOff>
      <xdr:row>10</xdr:row>
      <xdr:rowOff>114300</xdr:rowOff>
    </xdr:from>
    <xdr:to>
      <xdr:col>24</xdr:col>
      <xdr:colOff>161925</xdr:colOff>
      <xdr:row>27</xdr:row>
      <xdr:rowOff>133350</xdr:rowOff>
    </xdr:to>
    <xdr:graphicFrame macro="">
      <xdr:nvGraphicFramePr>
        <xdr:cNvPr id="20515" name="Graphique 4">
          <a:extLst>
            <a:ext uri="{FF2B5EF4-FFF2-40B4-BE49-F238E27FC236}">
              <a16:creationId xmlns:a16="http://schemas.microsoft.com/office/drawing/2014/main" id="{AC55B7D2-2E27-5BB9-101E-DDD4115499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314325</xdr:colOff>
      <xdr:row>21</xdr:row>
      <xdr:rowOff>9525</xdr:rowOff>
    </xdr:from>
    <xdr:to>
      <xdr:col>9</xdr:col>
      <xdr:colOff>190500</xdr:colOff>
      <xdr:row>31</xdr:row>
      <xdr:rowOff>1905</xdr:rowOff>
    </xdr:to>
    <xdr:pic>
      <xdr:nvPicPr>
        <xdr:cNvPr id="20516" name="Image 1">
          <a:extLst>
            <a:ext uri="{FF2B5EF4-FFF2-40B4-BE49-F238E27FC236}">
              <a16:creationId xmlns:a16="http://schemas.microsoft.com/office/drawing/2014/main" id="{42B16D2C-BD09-9AE7-DA53-A12DD296C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52875"/>
          <a:ext cx="6162675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0</xdr:colOff>
      <xdr:row>12</xdr:row>
      <xdr:rowOff>20955</xdr:rowOff>
    </xdr:from>
    <xdr:to>
      <xdr:col>13</xdr:col>
      <xdr:colOff>0</xdr:colOff>
      <xdr:row>12</xdr:row>
      <xdr:rowOff>213460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0E288C2-3EE8-B71B-5EE4-7AF6470B453A}"/>
            </a:ext>
          </a:extLst>
        </xdr:cNvPr>
        <xdr:cNvSpPr/>
      </xdr:nvSpPr>
      <xdr:spPr>
        <a:xfrm>
          <a:off x="8813800" y="2296160"/>
          <a:ext cx="990600" cy="18288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H"/>
        </a:p>
      </xdr:txBody>
    </xdr:sp>
    <xdr:clientData/>
  </xdr:twoCellAnchor>
  <xdr:twoCellAnchor>
    <xdr:from>
      <xdr:col>9</xdr:col>
      <xdr:colOff>0</xdr:colOff>
      <xdr:row>17</xdr:row>
      <xdr:rowOff>0</xdr:rowOff>
    </xdr:from>
    <xdr:to>
      <xdr:col>9</xdr:col>
      <xdr:colOff>652844</xdr:colOff>
      <xdr:row>18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ECFD403-8801-6FBD-2C12-5631CE9CD1E8}"/>
            </a:ext>
          </a:extLst>
        </xdr:cNvPr>
        <xdr:cNvSpPr/>
      </xdr:nvSpPr>
      <xdr:spPr>
        <a:xfrm>
          <a:off x="6593840" y="3210560"/>
          <a:ext cx="690880" cy="19812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H"/>
        </a:p>
      </xdr:txBody>
    </xdr:sp>
    <xdr:clientData/>
  </xdr:twoCellAnchor>
  <xdr:twoCellAnchor>
    <xdr:from>
      <xdr:col>21</xdr:col>
      <xdr:colOff>104775</xdr:colOff>
      <xdr:row>1</xdr:row>
      <xdr:rowOff>66675</xdr:rowOff>
    </xdr:from>
    <xdr:to>
      <xdr:col>21</xdr:col>
      <xdr:colOff>723900</xdr:colOff>
      <xdr:row>4</xdr:row>
      <xdr:rowOff>38100</xdr:rowOff>
    </xdr:to>
    <xdr:sp macro="[0]!Macro1" textlink="">
      <xdr:nvSpPr>
        <xdr:cNvPr id="5" name="UTurnArrow">
          <a:extLst>
            <a:ext uri="{FF2B5EF4-FFF2-40B4-BE49-F238E27FC236}">
              <a16:creationId xmlns:a16="http://schemas.microsoft.com/office/drawing/2014/main" id="{B31F9FEE-CED3-4334-A72C-05D25E7F5DC6}"/>
            </a:ext>
          </a:extLst>
        </xdr:cNvPr>
        <xdr:cNvSpPr>
          <a:spLocks noEditPoints="1" noChangeArrowheads="1"/>
        </xdr:cNvSpPr>
      </xdr:nvSpPr>
      <xdr:spPr bwMode="auto">
        <a:xfrm>
          <a:off x="13858875" y="276225"/>
          <a:ext cx="619125" cy="58102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571500</xdr:colOff>
      <xdr:row>20</xdr:row>
      <xdr:rowOff>95250</xdr:rowOff>
    </xdr:from>
    <xdr:to>
      <xdr:col>14</xdr:col>
      <xdr:colOff>485775</xdr:colOff>
      <xdr:row>29</xdr:row>
      <xdr:rowOff>152400</xdr:rowOff>
    </xdr:to>
    <xdr:pic>
      <xdr:nvPicPr>
        <xdr:cNvPr id="19490" name="Picture 2">
          <a:extLst>
            <a:ext uri="{FF2B5EF4-FFF2-40B4-BE49-F238E27FC236}">
              <a16:creationId xmlns:a16="http://schemas.microsoft.com/office/drawing/2014/main" id="{DAF8BEB2-7A24-3173-FDD3-F010FB7AF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3876675"/>
          <a:ext cx="368617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495300</xdr:colOff>
      <xdr:row>10</xdr:row>
      <xdr:rowOff>114300</xdr:rowOff>
    </xdr:from>
    <xdr:to>
      <xdr:col>24</xdr:col>
      <xdr:colOff>161925</xdr:colOff>
      <xdr:row>27</xdr:row>
      <xdr:rowOff>133350</xdr:rowOff>
    </xdr:to>
    <xdr:graphicFrame macro="">
      <xdr:nvGraphicFramePr>
        <xdr:cNvPr id="19491" name="Graphique 4">
          <a:extLst>
            <a:ext uri="{FF2B5EF4-FFF2-40B4-BE49-F238E27FC236}">
              <a16:creationId xmlns:a16="http://schemas.microsoft.com/office/drawing/2014/main" id="{F3BD2D57-7527-04A6-D403-D62528FC91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276225</xdr:colOff>
      <xdr:row>20</xdr:row>
      <xdr:rowOff>152400</xdr:rowOff>
    </xdr:from>
    <xdr:to>
      <xdr:col>9</xdr:col>
      <xdr:colOff>276225</xdr:colOff>
      <xdr:row>30</xdr:row>
      <xdr:rowOff>133350</xdr:rowOff>
    </xdr:to>
    <xdr:pic>
      <xdr:nvPicPr>
        <xdr:cNvPr id="19492" name="Image 2">
          <a:extLst>
            <a:ext uri="{FF2B5EF4-FFF2-40B4-BE49-F238E27FC236}">
              <a16:creationId xmlns:a16="http://schemas.microsoft.com/office/drawing/2014/main" id="{F602289C-3C0D-4B08-F281-26F00CB19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3933825"/>
          <a:ext cx="6162675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14605</xdr:colOff>
      <xdr:row>12</xdr:row>
      <xdr:rowOff>25400</xdr:rowOff>
    </xdr:from>
    <xdr:to>
      <xdr:col>13</xdr:col>
      <xdr:colOff>10167</xdr:colOff>
      <xdr:row>12</xdr:row>
      <xdr:rowOff>198120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299BB63-742F-8C9D-100E-5FB3368DD82E}"/>
            </a:ext>
          </a:extLst>
        </xdr:cNvPr>
        <xdr:cNvSpPr/>
      </xdr:nvSpPr>
      <xdr:spPr>
        <a:xfrm>
          <a:off x="8823960" y="2291080"/>
          <a:ext cx="899160" cy="17272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H"/>
        </a:p>
      </xdr:txBody>
    </xdr:sp>
    <xdr:clientData/>
  </xdr:twoCellAnchor>
  <xdr:twoCellAnchor>
    <xdr:from>
      <xdr:col>9</xdr:col>
      <xdr:colOff>14605</xdr:colOff>
      <xdr:row>16</xdr:row>
      <xdr:rowOff>182880</xdr:rowOff>
    </xdr:from>
    <xdr:to>
      <xdr:col>10</xdr:col>
      <xdr:colOff>20344</xdr:colOff>
      <xdr:row>17</xdr:row>
      <xdr:rowOff>187960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548B5A4-EB5A-4484-F72F-B9C018CD1844}"/>
            </a:ext>
          </a:extLst>
        </xdr:cNvPr>
        <xdr:cNvSpPr/>
      </xdr:nvSpPr>
      <xdr:spPr>
        <a:xfrm>
          <a:off x="6466840" y="3195320"/>
          <a:ext cx="802640" cy="2032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H"/>
        </a:p>
      </xdr:txBody>
    </xdr:sp>
    <xdr:clientData/>
  </xdr:twoCellAnchor>
  <xdr:twoCellAnchor>
    <xdr:from>
      <xdr:col>21</xdr:col>
      <xdr:colOff>104775</xdr:colOff>
      <xdr:row>1</xdr:row>
      <xdr:rowOff>66675</xdr:rowOff>
    </xdr:from>
    <xdr:to>
      <xdr:col>21</xdr:col>
      <xdr:colOff>723900</xdr:colOff>
      <xdr:row>4</xdr:row>
      <xdr:rowOff>38100</xdr:rowOff>
    </xdr:to>
    <xdr:sp macro="[0]!Macro1" textlink="">
      <xdr:nvSpPr>
        <xdr:cNvPr id="5" name="UTurnArrow">
          <a:extLst>
            <a:ext uri="{FF2B5EF4-FFF2-40B4-BE49-F238E27FC236}">
              <a16:creationId xmlns:a16="http://schemas.microsoft.com/office/drawing/2014/main" id="{093373F5-3CCF-4BAD-8D85-6217C392EB64}"/>
            </a:ext>
          </a:extLst>
        </xdr:cNvPr>
        <xdr:cNvSpPr>
          <a:spLocks noEditPoints="1" noChangeArrowheads="1"/>
        </xdr:cNvSpPr>
      </xdr:nvSpPr>
      <xdr:spPr bwMode="auto">
        <a:xfrm>
          <a:off x="13858875" y="276225"/>
          <a:ext cx="619125" cy="58102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323850</xdr:colOff>
      <xdr:row>20</xdr:row>
      <xdr:rowOff>123825</xdr:rowOff>
    </xdr:from>
    <xdr:to>
      <xdr:col>15</xdr:col>
      <xdr:colOff>238125</xdr:colOff>
      <xdr:row>30</xdr:row>
      <xdr:rowOff>19050</xdr:rowOff>
    </xdr:to>
    <xdr:pic>
      <xdr:nvPicPr>
        <xdr:cNvPr id="10291" name="Picture 2">
          <a:extLst>
            <a:ext uri="{FF2B5EF4-FFF2-40B4-BE49-F238E27FC236}">
              <a16:creationId xmlns:a16="http://schemas.microsoft.com/office/drawing/2014/main" id="{BBDB475F-D1C0-DBFF-6229-5CCCF4780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3905250"/>
          <a:ext cx="3381375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495300</xdr:colOff>
      <xdr:row>10</xdr:row>
      <xdr:rowOff>114300</xdr:rowOff>
    </xdr:from>
    <xdr:to>
      <xdr:col>24</xdr:col>
      <xdr:colOff>161925</xdr:colOff>
      <xdr:row>27</xdr:row>
      <xdr:rowOff>133350</xdr:rowOff>
    </xdr:to>
    <xdr:graphicFrame macro="">
      <xdr:nvGraphicFramePr>
        <xdr:cNvPr id="10292" name="Graphique 4">
          <a:extLst>
            <a:ext uri="{FF2B5EF4-FFF2-40B4-BE49-F238E27FC236}">
              <a16:creationId xmlns:a16="http://schemas.microsoft.com/office/drawing/2014/main" id="{D2763D54-5B57-6E37-D355-D7091EC83C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323850</xdr:colOff>
      <xdr:row>21</xdr:row>
      <xdr:rowOff>19050</xdr:rowOff>
    </xdr:from>
    <xdr:to>
      <xdr:col>9</xdr:col>
      <xdr:colOff>304800</xdr:colOff>
      <xdr:row>31</xdr:row>
      <xdr:rowOff>1905</xdr:rowOff>
    </xdr:to>
    <xdr:pic>
      <xdr:nvPicPr>
        <xdr:cNvPr id="10293" name="Image 1">
          <a:extLst>
            <a:ext uri="{FF2B5EF4-FFF2-40B4-BE49-F238E27FC236}">
              <a16:creationId xmlns:a16="http://schemas.microsoft.com/office/drawing/2014/main" id="{62491F5A-9EC0-EA93-0FCE-B0217875B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962400"/>
          <a:ext cx="609600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15240</xdr:colOff>
      <xdr:row>12</xdr:row>
      <xdr:rowOff>35560</xdr:rowOff>
    </xdr:from>
    <xdr:to>
      <xdr:col>13</xdr:col>
      <xdr:colOff>5080</xdr:colOff>
      <xdr:row>13</xdr:row>
      <xdr:rowOff>5080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C63524F-FEB0-807A-8B32-3FB22A151A1D}"/>
            </a:ext>
          </a:extLst>
        </xdr:cNvPr>
        <xdr:cNvSpPr/>
      </xdr:nvSpPr>
      <xdr:spPr>
        <a:xfrm>
          <a:off x="8600440" y="2301240"/>
          <a:ext cx="848360" cy="18796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H"/>
        </a:p>
      </xdr:txBody>
    </xdr:sp>
    <xdr:clientData/>
  </xdr:twoCellAnchor>
  <xdr:twoCellAnchor>
    <xdr:from>
      <xdr:col>9</xdr:col>
      <xdr:colOff>10160</xdr:colOff>
      <xdr:row>16</xdr:row>
      <xdr:rowOff>177800</xdr:rowOff>
    </xdr:from>
    <xdr:to>
      <xdr:col>10</xdr:col>
      <xdr:colOff>34976</xdr:colOff>
      <xdr:row>18</xdr:row>
      <xdr:rowOff>15240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F1D8548-094B-584B-7C36-DD128901999A}"/>
            </a:ext>
          </a:extLst>
        </xdr:cNvPr>
        <xdr:cNvSpPr/>
      </xdr:nvSpPr>
      <xdr:spPr>
        <a:xfrm>
          <a:off x="6421120" y="3190240"/>
          <a:ext cx="746760" cy="23368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CH"/>
        </a:p>
      </xdr:txBody>
    </xdr:sp>
    <xdr:clientData/>
  </xdr:twoCellAnchor>
  <xdr:twoCellAnchor>
    <xdr:from>
      <xdr:col>21</xdr:col>
      <xdr:colOff>104775</xdr:colOff>
      <xdr:row>1</xdr:row>
      <xdr:rowOff>66675</xdr:rowOff>
    </xdr:from>
    <xdr:to>
      <xdr:col>21</xdr:col>
      <xdr:colOff>723900</xdr:colOff>
      <xdr:row>4</xdr:row>
      <xdr:rowOff>38100</xdr:rowOff>
    </xdr:to>
    <xdr:sp macro="[0]!Macro1" textlink="">
      <xdr:nvSpPr>
        <xdr:cNvPr id="5" name="UTurnArrow">
          <a:extLst>
            <a:ext uri="{FF2B5EF4-FFF2-40B4-BE49-F238E27FC236}">
              <a16:creationId xmlns:a16="http://schemas.microsoft.com/office/drawing/2014/main" id="{67515518-10DB-4C62-A0CD-57E4C5CCBC29}"/>
            </a:ext>
          </a:extLst>
        </xdr:cNvPr>
        <xdr:cNvSpPr>
          <a:spLocks noEditPoints="1" noChangeArrowheads="1"/>
        </xdr:cNvSpPr>
      </xdr:nvSpPr>
      <xdr:spPr bwMode="auto">
        <a:xfrm>
          <a:off x="14125575" y="276225"/>
          <a:ext cx="619125" cy="58102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AF873-3BA4-438B-A01D-D9EBDEA3D278}">
  <sheetPr codeName="Feuil5"/>
  <dimension ref="A1:V19"/>
  <sheetViews>
    <sheetView zoomScale="125" zoomScaleNormal="100" workbookViewId="0">
      <selection activeCell="I11" sqref="I11"/>
    </sheetView>
  </sheetViews>
  <sheetFormatPr baseColWidth="10" defaultColWidth="9.140625" defaultRowHeight="12.75"/>
  <cols>
    <col min="1" max="1" width="7.7109375" customWidth="1"/>
    <col min="2" max="2" width="14.7109375" customWidth="1"/>
    <col min="3" max="3" width="9.42578125" customWidth="1"/>
    <col min="4" max="4" width="9.140625" customWidth="1"/>
    <col min="5" max="5" width="8.28515625" customWidth="1"/>
    <col min="6" max="6" width="13.140625" customWidth="1"/>
    <col min="7" max="7" width="12.28515625" customWidth="1"/>
    <col min="8" max="8" width="9" customWidth="1"/>
    <col min="9" max="9" width="10.5703125" customWidth="1"/>
    <col min="10" max="10" width="10" customWidth="1"/>
    <col min="11" max="11" width="9.140625" customWidth="1"/>
    <col min="12" max="12" width="12.5703125" customWidth="1"/>
    <col min="13" max="13" width="14.140625" customWidth="1"/>
    <col min="17" max="17" width="13" customWidth="1"/>
    <col min="18" max="18" width="6.140625" customWidth="1"/>
    <col min="19" max="19" width="5.5703125" customWidth="1"/>
    <col min="22" max="22" width="12.42578125" customWidth="1"/>
  </cols>
  <sheetData>
    <row r="1" spans="1:22" ht="16.5" customHeight="1">
      <c r="A1" s="1" t="s">
        <v>26</v>
      </c>
      <c r="M1" s="4"/>
      <c r="N1" s="37" t="s">
        <v>28</v>
      </c>
      <c r="O1" s="5"/>
      <c r="P1" s="49"/>
      <c r="Q1" s="50" t="s">
        <v>45</v>
      </c>
      <c r="R1" s="51"/>
      <c r="S1" s="51"/>
      <c r="T1" s="52"/>
    </row>
    <row r="2" spans="1:22" ht="16.5">
      <c r="A2" s="1" t="s">
        <v>27</v>
      </c>
      <c r="F2" s="69" t="s">
        <v>53</v>
      </c>
      <c r="G2" s="70"/>
      <c r="H2" s="70"/>
      <c r="I2" s="70"/>
      <c r="J2" s="70"/>
      <c r="K2" s="71"/>
      <c r="L2" s="64" t="s">
        <v>41</v>
      </c>
      <c r="M2" s="63"/>
      <c r="N2" s="38" t="s">
        <v>29</v>
      </c>
      <c r="O2" s="7"/>
      <c r="P2" s="53"/>
      <c r="Q2" s="54"/>
      <c r="R2" s="54"/>
      <c r="S2" s="54"/>
      <c r="T2" s="55"/>
      <c r="V2" s="75" t="s">
        <v>67</v>
      </c>
    </row>
    <row r="3" spans="1:22" ht="15.75">
      <c r="F3" s="72" t="s">
        <v>66</v>
      </c>
      <c r="G3" s="73"/>
      <c r="H3" s="73"/>
      <c r="I3" s="73"/>
      <c r="J3" s="73"/>
      <c r="K3" s="74"/>
      <c r="L3" s="65">
        <v>12</v>
      </c>
      <c r="P3" s="53"/>
      <c r="Q3" s="56" t="s">
        <v>30</v>
      </c>
      <c r="R3" s="57" t="s">
        <v>50</v>
      </c>
      <c r="S3" s="46">
        <v>1</v>
      </c>
      <c r="T3" s="55"/>
      <c r="V3" s="76"/>
    </row>
    <row r="4" spans="1:22" ht="15.75">
      <c r="B4" s="9"/>
      <c r="C4" s="5" t="s">
        <v>8</v>
      </c>
      <c r="D4" s="10" t="s">
        <v>6</v>
      </c>
      <c r="E4" s="11" t="s">
        <v>5</v>
      </c>
      <c r="F4" s="36" t="s">
        <v>57</v>
      </c>
      <c r="G4" s="36" t="s">
        <v>63</v>
      </c>
      <c r="H4" s="10" t="s">
        <v>32</v>
      </c>
      <c r="I4" s="36" t="s">
        <v>64</v>
      </c>
      <c r="J4" s="6"/>
      <c r="K4" s="9"/>
      <c r="L4" s="36" t="s">
        <v>42</v>
      </c>
      <c r="M4" s="10" t="s">
        <v>7</v>
      </c>
      <c r="N4" s="45" t="s">
        <v>43</v>
      </c>
      <c r="O4" s="28" t="s">
        <v>11</v>
      </c>
      <c r="P4" s="53"/>
      <c r="Q4" s="56" t="s">
        <v>52</v>
      </c>
      <c r="R4" s="57" t="s">
        <v>47</v>
      </c>
      <c r="S4" s="46">
        <v>1</v>
      </c>
      <c r="T4" s="55"/>
      <c r="V4" s="76"/>
    </row>
    <row r="5" spans="1:22" ht="15.75">
      <c r="B5" s="41" t="s">
        <v>54</v>
      </c>
      <c r="C5" s="13">
        <v>0</v>
      </c>
      <c r="D5" s="13">
        <v>18</v>
      </c>
      <c r="E5" s="13">
        <v>150</v>
      </c>
      <c r="F5" s="13">
        <v>450</v>
      </c>
      <c r="G5" s="22">
        <f>F5/S6</f>
        <v>450</v>
      </c>
      <c r="H5" s="13">
        <v>100</v>
      </c>
      <c r="I5" s="13">
        <v>210000</v>
      </c>
      <c r="J5" s="19"/>
      <c r="K5" s="39" t="s">
        <v>30</v>
      </c>
      <c r="L5" s="22">
        <f>L3*S3/S4</f>
        <v>12</v>
      </c>
      <c r="M5" s="13">
        <v>5</v>
      </c>
      <c r="N5" s="14">
        <v>50000</v>
      </c>
      <c r="O5" s="29">
        <f>1000*L5/N5</f>
        <v>0.24</v>
      </c>
      <c r="P5" s="53"/>
      <c r="Q5" s="58"/>
      <c r="R5" s="58"/>
      <c r="S5" s="54"/>
      <c r="T5" s="55"/>
      <c r="V5" s="76"/>
    </row>
    <row r="6" spans="1:22" ht="15.75">
      <c r="B6" s="41" t="s">
        <v>51</v>
      </c>
      <c r="C6" s="13">
        <v>14</v>
      </c>
      <c r="D6" s="13">
        <v>0</v>
      </c>
      <c r="E6" s="13">
        <v>100</v>
      </c>
      <c r="F6" s="13">
        <v>500</v>
      </c>
      <c r="G6" s="22">
        <f>F6/S6</f>
        <v>500</v>
      </c>
      <c r="H6" s="13">
        <v>100</v>
      </c>
      <c r="I6" s="13">
        <v>210000</v>
      </c>
      <c r="J6" s="19"/>
      <c r="K6" s="27"/>
      <c r="L6" s="36" t="s">
        <v>61</v>
      </c>
      <c r="M6" s="36" t="s">
        <v>62</v>
      </c>
      <c r="N6" s="36" t="s">
        <v>44</v>
      </c>
      <c r="O6" s="28" t="s">
        <v>12</v>
      </c>
      <c r="P6" s="53"/>
      <c r="Q6" s="56" t="s">
        <v>46</v>
      </c>
      <c r="R6" s="59" t="s">
        <v>48</v>
      </c>
      <c r="S6" s="46">
        <v>1</v>
      </c>
      <c r="T6" s="55"/>
      <c r="V6" s="77"/>
    </row>
    <row r="7" spans="1:22">
      <c r="B7" s="15"/>
      <c r="C7" s="7"/>
      <c r="D7" s="7"/>
      <c r="E7" s="7"/>
      <c r="F7" s="7"/>
      <c r="G7" s="7"/>
      <c r="H7" s="7"/>
      <c r="I7" s="7"/>
      <c r="J7" s="8"/>
      <c r="K7" s="40" t="s">
        <v>31</v>
      </c>
      <c r="L7" s="16">
        <v>30</v>
      </c>
      <c r="M7" s="48">
        <f>L7/S8</f>
        <v>30</v>
      </c>
      <c r="N7" s="16">
        <v>35000</v>
      </c>
      <c r="O7" s="29">
        <f>1000*M7/N7</f>
        <v>0.8571428571428571</v>
      </c>
      <c r="P7" s="53"/>
      <c r="Q7" s="58"/>
      <c r="R7" s="58"/>
      <c r="S7" s="54"/>
      <c r="T7" s="55"/>
    </row>
    <row r="8" spans="1:22" ht="14.25">
      <c r="P8" s="53"/>
      <c r="Q8" s="56" t="s">
        <v>31</v>
      </c>
      <c r="R8" s="59" t="s">
        <v>49</v>
      </c>
      <c r="S8" s="46">
        <v>1</v>
      </c>
      <c r="T8" s="55"/>
    </row>
    <row r="9" spans="1:22">
      <c r="B9" s="9"/>
      <c r="C9" s="5"/>
      <c r="D9" s="11"/>
      <c r="E9" s="11"/>
      <c r="F9" s="5"/>
      <c r="G9" s="5"/>
      <c r="H9" s="5"/>
      <c r="I9" s="11" t="s">
        <v>1</v>
      </c>
      <c r="J9" s="10" t="s">
        <v>9</v>
      </c>
      <c r="K9" s="10" t="s">
        <v>10</v>
      </c>
      <c r="L9" s="5"/>
      <c r="M9" s="11" t="s">
        <v>14</v>
      </c>
      <c r="N9" s="5"/>
      <c r="O9" s="11" t="s">
        <v>2</v>
      </c>
      <c r="P9" s="60"/>
      <c r="Q9" s="61"/>
      <c r="R9" s="61"/>
      <c r="S9" s="61"/>
      <c r="T9" s="62"/>
    </row>
    <row r="10" spans="1:22" ht="15.75">
      <c r="B10" s="12"/>
      <c r="G10" s="68" t="s">
        <v>65</v>
      </c>
      <c r="H10" s="17" t="s">
        <v>21</v>
      </c>
      <c r="I10" s="18">
        <v>29.937529987411761</v>
      </c>
      <c r="O10" s="19"/>
    </row>
    <row r="11" spans="1:22">
      <c r="A11" s="2" t="s">
        <v>0</v>
      </c>
      <c r="B11" s="20"/>
      <c r="C11" s="2"/>
      <c r="D11" s="3"/>
      <c r="H11" s="17"/>
      <c r="I11" s="23"/>
      <c r="K11" s="30"/>
      <c r="L11" s="17"/>
      <c r="M11" s="23"/>
      <c r="N11" s="17"/>
      <c r="O11" s="24"/>
    </row>
    <row r="12" spans="1:22" ht="15.75">
      <c r="A12" s="3">
        <f>D18+D12</f>
        <v>180</v>
      </c>
      <c r="B12" s="42" t="s">
        <v>30</v>
      </c>
      <c r="C12" s="17" t="s">
        <v>15</v>
      </c>
      <c r="D12" s="21">
        <v>0</v>
      </c>
      <c r="E12" t="s">
        <v>1</v>
      </c>
      <c r="F12" s="44" t="s">
        <v>37</v>
      </c>
      <c r="H12" s="17" t="s">
        <v>17</v>
      </c>
      <c r="I12" s="22">
        <f>D18+D12/2</f>
        <v>180</v>
      </c>
      <c r="J12" s="13">
        <v>5</v>
      </c>
      <c r="K12" s="22">
        <f>IF(J12&lt;O5,N5*J12/1000,L5)</f>
        <v>12</v>
      </c>
      <c r="L12" s="17" t="s">
        <v>22</v>
      </c>
      <c r="M12" s="22">
        <f>(K12+K14)*D12*1000/(2*1000)</f>
        <v>0</v>
      </c>
      <c r="N12" s="43" t="s">
        <v>33</v>
      </c>
      <c r="O12" s="32">
        <f>M12*I12*0.001</f>
        <v>0</v>
      </c>
    </row>
    <row r="13" spans="1:22" ht="17.25" customHeight="1">
      <c r="A13" s="3">
        <f>I13</f>
        <v>166</v>
      </c>
      <c r="B13" s="20"/>
      <c r="C13" s="17" t="s">
        <v>16</v>
      </c>
      <c r="D13" s="22">
        <f>(1000/E6)*(3.141592653*D6^2/4)</f>
        <v>0</v>
      </c>
      <c r="E13" t="s">
        <v>4</v>
      </c>
      <c r="F13" s="44" t="s">
        <v>38</v>
      </c>
      <c r="H13" s="17" t="s">
        <v>18</v>
      </c>
      <c r="I13" s="22">
        <f>D18+D12-C6-D6/2</f>
        <v>166</v>
      </c>
      <c r="J13" s="26">
        <f>J12*(I13-I10)/(D12+D18-I10)</f>
        <v>4.5335276035765109</v>
      </c>
      <c r="K13" s="22">
        <f>IF(J13&lt;(1000*G6/I6),I6*J13/1000,G6)</f>
        <v>500</v>
      </c>
      <c r="L13" s="17" t="s">
        <v>23</v>
      </c>
      <c r="M13" s="22">
        <f>K13*D13/1000</f>
        <v>0</v>
      </c>
      <c r="N13" s="43" t="s">
        <v>34</v>
      </c>
      <c r="O13" s="32">
        <f>M13*I13*0.001</f>
        <v>0</v>
      </c>
    </row>
    <row r="14" spans="1:22">
      <c r="A14" s="3">
        <f>D18</f>
        <v>180</v>
      </c>
      <c r="B14" s="20"/>
      <c r="C14" s="17"/>
      <c r="D14" s="3"/>
      <c r="F14" t="s">
        <v>13</v>
      </c>
      <c r="I14" s="30"/>
      <c r="J14" s="26">
        <f>J12*(D18-I10)/(D18+D12-I10)</f>
        <v>5</v>
      </c>
      <c r="K14" s="22">
        <f>IF(J14&lt;O5,N5*J14/1000,L5)</f>
        <v>12</v>
      </c>
      <c r="L14" s="17"/>
      <c r="M14" s="3"/>
      <c r="N14" s="17"/>
      <c r="O14" s="33"/>
    </row>
    <row r="15" spans="1:22" ht="11.25" customHeight="1">
      <c r="A15" s="3"/>
      <c r="B15" s="31"/>
      <c r="C15" s="17"/>
      <c r="I15" s="30"/>
      <c r="M15" s="30"/>
      <c r="O15" s="34"/>
    </row>
    <row r="16" spans="1:22" ht="18" customHeight="1">
      <c r="A16" s="3">
        <f>I16</f>
        <v>180</v>
      </c>
      <c r="B16" s="20"/>
      <c r="C16" s="43" t="s">
        <v>55</v>
      </c>
      <c r="D16" s="22">
        <f>(1000/E5)*(3.141592653*D5^2/4)</f>
        <v>1696.46003262</v>
      </c>
      <c r="E16" t="s">
        <v>4</v>
      </c>
      <c r="F16" s="44" t="s">
        <v>39</v>
      </c>
      <c r="H16" s="43" t="s">
        <v>19</v>
      </c>
      <c r="I16" s="22">
        <f>D18</f>
        <v>180</v>
      </c>
      <c r="J16" s="26">
        <f>J12*(I16-I10)/(D18+D12-I10)</f>
        <v>5</v>
      </c>
      <c r="K16" s="22">
        <f>IF(J16&lt;(1000*G5/I5),I5*J16/1000,G5)</f>
        <v>450</v>
      </c>
      <c r="L16" s="17" t="s">
        <v>24</v>
      </c>
      <c r="M16" s="22">
        <f>K16*D16/1000</f>
        <v>763.40701467899999</v>
      </c>
      <c r="N16" s="43" t="s">
        <v>35</v>
      </c>
      <c r="O16" s="32">
        <f>M16*I16*0.001</f>
        <v>137.41326264222002</v>
      </c>
    </row>
    <row r="17" spans="1:15" ht="15.75">
      <c r="A17" s="3">
        <f>I17</f>
        <v>29.937529987411761</v>
      </c>
      <c r="B17" s="12"/>
      <c r="C17" s="17"/>
      <c r="H17" s="17" t="s">
        <v>21</v>
      </c>
      <c r="I17" s="22">
        <f>I10</f>
        <v>29.937529987411761</v>
      </c>
      <c r="J17" s="47">
        <v>0</v>
      </c>
      <c r="K17" s="47">
        <v>0</v>
      </c>
      <c r="M17" s="30"/>
      <c r="O17" s="34"/>
    </row>
    <row r="18" spans="1:15" ht="15.75">
      <c r="A18" s="3">
        <v>0</v>
      </c>
      <c r="B18" s="42" t="s">
        <v>31</v>
      </c>
      <c r="C18" s="43" t="s">
        <v>60</v>
      </c>
      <c r="D18" s="21">
        <v>180</v>
      </c>
      <c r="E18" t="s">
        <v>1</v>
      </c>
      <c r="F18" s="44" t="s">
        <v>40</v>
      </c>
      <c r="H18" s="17" t="s">
        <v>20</v>
      </c>
      <c r="I18" s="22">
        <f>IF(ABS(J18)&lt;O7,I10/3,0.85*I10/2)</f>
        <v>12.723450244649998</v>
      </c>
      <c r="J18" s="26">
        <f>-I10*J12/(D18+D12-I10)</f>
        <v>-0.9975022397305735</v>
      </c>
      <c r="K18" s="22">
        <f>IF(ABS(J18)&lt;O7,N7*J18/1000,-M7)</f>
        <v>-30</v>
      </c>
      <c r="L18" s="17" t="s">
        <v>25</v>
      </c>
      <c r="M18" s="22">
        <f>IF(ABS(J18)&lt;O7,K18*I10/2,0.85*K18*I10)</f>
        <v>-763.40701467899987</v>
      </c>
      <c r="N18" s="43" t="s">
        <v>36</v>
      </c>
      <c r="O18" s="32">
        <f>M18*I18*0.001</f>
        <v>-9.7131711676850454</v>
      </c>
    </row>
    <row r="19" spans="1:15" ht="14.25">
      <c r="B19" s="15"/>
      <c r="C19" s="7"/>
      <c r="D19" s="7"/>
      <c r="E19" s="7"/>
      <c r="F19" s="7"/>
      <c r="G19" s="7"/>
      <c r="H19" s="7"/>
      <c r="I19" s="7"/>
      <c r="J19" s="7"/>
      <c r="K19" s="7"/>
      <c r="L19" s="25" t="s">
        <v>3</v>
      </c>
      <c r="M19" s="35">
        <f>SUM(M11:M18)</f>
        <v>0</v>
      </c>
      <c r="N19" s="66" t="s">
        <v>56</v>
      </c>
      <c r="O19" s="67">
        <f>SUM(O11:O18)</f>
        <v>127.70009147453497</v>
      </c>
    </row>
  </sheetData>
  <mergeCells count="2">
    <mergeCell ref="F3:K3"/>
    <mergeCell ref="V2:V6"/>
  </mergeCells>
  <pageMargins left="0.39370078740157483" right="0.39370078740157483" top="0.59055118110236227" bottom="0.78740157480314965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F271E-751F-4ADC-BD07-03891E9111BF}">
  <sheetPr codeName="Feuil4"/>
  <dimension ref="A1:V19"/>
  <sheetViews>
    <sheetView zoomScale="125" zoomScaleNormal="100" workbookViewId="0">
      <selection activeCell="I11" sqref="I11"/>
    </sheetView>
  </sheetViews>
  <sheetFormatPr baseColWidth="10" defaultColWidth="9.140625" defaultRowHeight="12.75"/>
  <cols>
    <col min="1" max="1" width="7.7109375" customWidth="1"/>
    <col min="2" max="2" width="14.7109375" customWidth="1"/>
    <col min="3" max="3" width="7.7109375" customWidth="1"/>
    <col min="4" max="4" width="9.140625" customWidth="1"/>
    <col min="5" max="5" width="8.28515625" customWidth="1"/>
    <col min="6" max="6" width="12.28515625" customWidth="1"/>
    <col min="7" max="7" width="13" customWidth="1"/>
    <col min="8" max="8" width="9" customWidth="1"/>
    <col min="9" max="9" width="10.5703125" customWidth="1"/>
    <col min="10" max="10" width="11.28515625" customWidth="1"/>
    <col min="11" max="11" width="9.140625" customWidth="1"/>
    <col min="12" max="12" width="13.28515625" customWidth="1"/>
    <col min="13" max="13" width="12.85546875" customWidth="1"/>
    <col min="14" max="14" width="10" customWidth="1"/>
    <col min="17" max="17" width="13" customWidth="1"/>
    <col min="18" max="18" width="6.140625" customWidth="1"/>
    <col min="19" max="19" width="5.5703125" customWidth="1"/>
    <col min="22" max="22" width="11.7109375" customWidth="1"/>
  </cols>
  <sheetData>
    <row r="1" spans="1:22" ht="16.5" customHeight="1">
      <c r="A1" s="1" t="s">
        <v>26</v>
      </c>
      <c r="M1" s="4"/>
      <c r="N1" s="37" t="s">
        <v>28</v>
      </c>
      <c r="O1" s="5"/>
      <c r="P1" s="49"/>
      <c r="Q1" s="50" t="s">
        <v>45</v>
      </c>
      <c r="R1" s="51"/>
      <c r="S1" s="51"/>
      <c r="T1" s="52"/>
    </row>
    <row r="2" spans="1:22" ht="16.5">
      <c r="A2" s="1" t="s">
        <v>27</v>
      </c>
      <c r="F2" s="69" t="s">
        <v>53</v>
      </c>
      <c r="G2" s="70"/>
      <c r="H2" s="70"/>
      <c r="I2" s="70"/>
      <c r="J2" s="70"/>
      <c r="K2" s="71"/>
      <c r="L2" s="64" t="s">
        <v>41</v>
      </c>
      <c r="M2" s="63"/>
      <c r="N2" s="38" t="s">
        <v>29</v>
      </c>
      <c r="O2" s="7"/>
      <c r="P2" s="53"/>
      <c r="Q2" s="54"/>
      <c r="R2" s="54"/>
      <c r="S2" s="54"/>
      <c r="T2" s="55"/>
      <c r="V2" s="75" t="s">
        <v>67</v>
      </c>
    </row>
    <row r="3" spans="1:22" ht="15.75">
      <c r="F3" s="72" t="s">
        <v>66</v>
      </c>
      <c r="G3" s="73"/>
      <c r="H3" s="73"/>
      <c r="I3" s="73"/>
      <c r="J3" s="73"/>
      <c r="K3" s="74"/>
      <c r="L3" s="65">
        <v>12</v>
      </c>
      <c r="P3" s="53"/>
      <c r="Q3" s="56" t="s">
        <v>30</v>
      </c>
      <c r="R3" s="57" t="s">
        <v>50</v>
      </c>
      <c r="S3" s="46">
        <v>1</v>
      </c>
      <c r="T3" s="55"/>
      <c r="V3" s="76"/>
    </row>
    <row r="4" spans="1:22" ht="15.75">
      <c r="B4" s="9"/>
      <c r="C4" s="5" t="s">
        <v>8</v>
      </c>
      <c r="D4" s="10" t="s">
        <v>6</v>
      </c>
      <c r="E4" s="11" t="s">
        <v>5</v>
      </c>
      <c r="F4" s="36" t="s">
        <v>57</v>
      </c>
      <c r="G4" s="36" t="s">
        <v>63</v>
      </c>
      <c r="H4" s="10" t="s">
        <v>32</v>
      </c>
      <c r="I4" s="36" t="s">
        <v>64</v>
      </c>
      <c r="J4" s="6"/>
      <c r="K4" s="9"/>
      <c r="L4" s="36" t="s">
        <v>42</v>
      </c>
      <c r="M4" s="10" t="s">
        <v>7</v>
      </c>
      <c r="N4" s="45" t="s">
        <v>43</v>
      </c>
      <c r="O4" s="28" t="s">
        <v>11</v>
      </c>
      <c r="P4" s="53"/>
      <c r="Q4" s="56" t="s">
        <v>52</v>
      </c>
      <c r="R4" s="57" t="s">
        <v>47</v>
      </c>
      <c r="S4" s="46">
        <v>1</v>
      </c>
      <c r="T4" s="55"/>
      <c r="V4" s="76"/>
    </row>
    <row r="5" spans="1:22" ht="15.75">
      <c r="B5" s="41" t="s">
        <v>54</v>
      </c>
      <c r="C5" s="13">
        <v>0</v>
      </c>
      <c r="D5" s="13">
        <v>18</v>
      </c>
      <c r="E5" s="13">
        <v>150</v>
      </c>
      <c r="F5" s="13">
        <v>450</v>
      </c>
      <c r="G5" s="22">
        <f>F5/S6</f>
        <v>450</v>
      </c>
      <c r="H5" s="13">
        <v>100</v>
      </c>
      <c r="I5" s="13">
        <v>210000</v>
      </c>
      <c r="J5" s="19"/>
      <c r="K5" s="39" t="s">
        <v>30</v>
      </c>
      <c r="L5" s="22">
        <f>L3*S3/S4</f>
        <v>12</v>
      </c>
      <c r="M5" s="13">
        <v>5</v>
      </c>
      <c r="N5" s="14">
        <v>50000</v>
      </c>
      <c r="O5" s="29">
        <f>1000*L5/N5</f>
        <v>0.24</v>
      </c>
      <c r="P5" s="53"/>
      <c r="Q5" s="58"/>
      <c r="R5" s="58"/>
      <c r="S5" s="54"/>
      <c r="T5" s="55"/>
      <c r="V5" s="76"/>
    </row>
    <row r="6" spans="1:22" ht="15.75">
      <c r="B6" s="41" t="s">
        <v>51</v>
      </c>
      <c r="C6" s="13">
        <v>14</v>
      </c>
      <c r="D6" s="13">
        <v>12</v>
      </c>
      <c r="E6" s="13">
        <v>100</v>
      </c>
      <c r="F6" s="13">
        <v>500</v>
      </c>
      <c r="G6" s="22">
        <f>F6/S6</f>
        <v>500</v>
      </c>
      <c r="H6" s="13">
        <v>100</v>
      </c>
      <c r="I6" s="13">
        <v>210000</v>
      </c>
      <c r="J6" s="19"/>
      <c r="K6" s="27"/>
      <c r="L6" s="36" t="s">
        <v>61</v>
      </c>
      <c r="M6" s="36" t="s">
        <v>62</v>
      </c>
      <c r="N6" s="36" t="s">
        <v>44</v>
      </c>
      <c r="O6" s="28" t="s">
        <v>12</v>
      </c>
      <c r="P6" s="53"/>
      <c r="Q6" s="56" t="s">
        <v>46</v>
      </c>
      <c r="R6" s="59" t="s">
        <v>48</v>
      </c>
      <c r="S6" s="46">
        <v>1</v>
      </c>
      <c r="T6" s="55"/>
      <c r="V6" s="77"/>
    </row>
    <row r="7" spans="1:22">
      <c r="B7" s="15"/>
      <c r="C7" s="7"/>
      <c r="D7" s="7"/>
      <c r="E7" s="7"/>
      <c r="F7" s="7"/>
      <c r="G7" s="7"/>
      <c r="H7" s="7"/>
      <c r="I7" s="7"/>
      <c r="J7" s="8"/>
      <c r="K7" s="40" t="s">
        <v>31</v>
      </c>
      <c r="L7" s="16">
        <v>30</v>
      </c>
      <c r="M7" s="48">
        <f>L7/S8</f>
        <v>30</v>
      </c>
      <c r="N7" s="16">
        <v>35000</v>
      </c>
      <c r="O7" s="29">
        <f>1000*M7/N7</f>
        <v>0.8571428571428571</v>
      </c>
      <c r="P7" s="53"/>
      <c r="Q7" s="58"/>
      <c r="R7" s="58"/>
      <c r="S7" s="54"/>
      <c r="T7" s="55"/>
    </row>
    <row r="8" spans="1:22" ht="14.25">
      <c r="P8" s="53"/>
      <c r="Q8" s="56" t="s">
        <v>31</v>
      </c>
      <c r="R8" s="59" t="s">
        <v>49</v>
      </c>
      <c r="S8" s="46">
        <v>1</v>
      </c>
      <c r="T8" s="55"/>
    </row>
    <row r="9" spans="1:22">
      <c r="B9" s="9"/>
      <c r="C9" s="5"/>
      <c r="D9" s="11"/>
      <c r="E9" s="11"/>
      <c r="F9" s="5"/>
      <c r="G9" s="5"/>
      <c r="H9" s="5"/>
      <c r="I9" s="11" t="s">
        <v>1</v>
      </c>
      <c r="J9" s="10" t="s">
        <v>9</v>
      </c>
      <c r="K9" s="10" t="s">
        <v>10</v>
      </c>
      <c r="L9" s="5"/>
      <c r="M9" s="11" t="s">
        <v>14</v>
      </c>
      <c r="N9" s="5"/>
      <c r="O9" s="11" t="s">
        <v>2</v>
      </c>
      <c r="P9" s="60"/>
      <c r="Q9" s="61"/>
      <c r="R9" s="61"/>
      <c r="S9" s="61"/>
      <c r="T9" s="62"/>
    </row>
    <row r="10" spans="1:22" ht="15.75">
      <c r="B10" s="12"/>
      <c r="G10" s="68" t="s">
        <v>65</v>
      </c>
      <c r="H10" s="17" t="s">
        <v>21</v>
      </c>
      <c r="I10" s="18">
        <v>70.937007537999989</v>
      </c>
      <c r="O10" s="19"/>
    </row>
    <row r="11" spans="1:22">
      <c r="A11" s="2" t="s">
        <v>0</v>
      </c>
      <c r="B11" s="20"/>
      <c r="C11" s="2"/>
      <c r="D11" s="3"/>
      <c r="H11" s="17"/>
      <c r="I11" s="23"/>
      <c r="K11" s="30"/>
      <c r="L11" s="17"/>
      <c r="M11" s="23"/>
      <c r="N11" s="17"/>
      <c r="O11" s="24"/>
    </row>
    <row r="12" spans="1:22" ht="15.75">
      <c r="A12" s="3">
        <f>D18+D12</f>
        <v>220</v>
      </c>
      <c r="B12" s="42" t="s">
        <v>30</v>
      </c>
      <c r="C12" s="17" t="s">
        <v>15</v>
      </c>
      <c r="D12" s="21">
        <v>40</v>
      </c>
      <c r="E12" t="s">
        <v>1</v>
      </c>
      <c r="F12" s="44" t="s">
        <v>37</v>
      </c>
      <c r="H12" s="17" t="s">
        <v>17</v>
      </c>
      <c r="I12" s="22">
        <f>D18+D12/2</f>
        <v>200</v>
      </c>
      <c r="J12" s="13">
        <v>5</v>
      </c>
      <c r="K12" s="22">
        <f>IF(J12&lt;O5,N5*J12/1000,L5)</f>
        <v>12</v>
      </c>
      <c r="L12" s="17" t="s">
        <v>22</v>
      </c>
      <c r="M12" s="22">
        <f>(K12+K14)*D12*1000/(2*1000)</f>
        <v>480</v>
      </c>
      <c r="N12" s="43" t="s">
        <v>33</v>
      </c>
      <c r="O12" s="32">
        <f>M12*I12*0.001</f>
        <v>96</v>
      </c>
    </row>
    <row r="13" spans="1:22" ht="17.25" customHeight="1">
      <c r="A13" s="3">
        <f>I13</f>
        <v>200</v>
      </c>
      <c r="B13" s="20"/>
      <c r="C13" s="17" t="s">
        <v>16</v>
      </c>
      <c r="D13" s="22">
        <f>(1000/E6)*(3.141592653*D6^2/4)</f>
        <v>1130.9733550799999</v>
      </c>
      <c r="E13" t="s">
        <v>4</v>
      </c>
      <c r="F13" s="44" t="s">
        <v>38</v>
      </c>
      <c r="H13" s="17" t="s">
        <v>18</v>
      </c>
      <c r="I13" s="22">
        <f>D18+D12-C6-D6/2</f>
        <v>200</v>
      </c>
      <c r="J13" s="26">
        <f>J12*(I13-I10)/(D12+D18-I10)</f>
        <v>4.3291426775462556</v>
      </c>
      <c r="K13" s="22">
        <f>IF(J13&lt;(1000*G6/I6),I6*J13/1000,G6)</f>
        <v>500</v>
      </c>
      <c r="L13" s="17" t="s">
        <v>23</v>
      </c>
      <c r="M13" s="22">
        <f>K13*D13/1000</f>
        <v>565.48667753999996</v>
      </c>
      <c r="N13" s="43" t="s">
        <v>34</v>
      </c>
      <c r="O13" s="32">
        <f>M13*I13*0.001</f>
        <v>113.09733550799999</v>
      </c>
    </row>
    <row r="14" spans="1:22">
      <c r="A14" s="3">
        <f>D18</f>
        <v>180</v>
      </c>
      <c r="B14" s="20"/>
      <c r="C14" s="17"/>
      <c r="D14" s="3"/>
      <c r="F14" t="s">
        <v>13</v>
      </c>
      <c r="I14" s="30"/>
      <c r="J14" s="26">
        <f>J12*(D18-I10)/(D18+D12-I10)</f>
        <v>3.6582853550925112</v>
      </c>
      <c r="K14" s="22">
        <f>IF(J14&lt;O5,N5*J14/1000,L5)</f>
        <v>12</v>
      </c>
      <c r="L14" s="17"/>
      <c r="M14" s="3"/>
      <c r="N14" s="17"/>
      <c r="O14" s="33"/>
    </row>
    <row r="15" spans="1:22" ht="11.25" customHeight="1">
      <c r="A15" s="3"/>
      <c r="B15" s="31"/>
      <c r="C15" s="17"/>
      <c r="I15" s="30"/>
      <c r="M15" s="30"/>
      <c r="O15" s="34"/>
    </row>
    <row r="16" spans="1:22" ht="18" customHeight="1">
      <c r="A16" s="3">
        <f>I16</f>
        <v>180</v>
      </c>
      <c r="B16" s="20"/>
      <c r="C16" s="43" t="s">
        <v>55</v>
      </c>
      <c r="D16" s="22">
        <f>(1000/E5)*(3.141592653*D5^2/4)</f>
        <v>1696.46003262</v>
      </c>
      <c r="E16" t="s">
        <v>4</v>
      </c>
      <c r="F16" s="44" t="s">
        <v>39</v>
      </c>
      <c r="H16" s="17" t="s">
        <v>19</v>
      </c>
      <c r="I16" s="22">
        <f>D18</f>
        <v>180</v>
      </c>
      <c r="J16" s="26">
        <f>J12*(I16-I10)/(D18+D12-I10)</f>
        <v>3.6582853550925112</v>
      </c>
      <c r="K16" s="22">
        <f>IF(J16&lt;(1000*G5/I5),I5*J16/1000,G5)</f>
        <v>450</v>
      </c>
      <c r="L16" s="17" t="s">
        <v>24</v>
      </c>
      <c r="M16" s="22">
        <f>K16*D16/1000</f>
        <v>763.40701467899999</v>
      </c>
      <c r="N16" s="43" t="s">
        <v>35</v>
      </c>
      <c r="O16" s="32">
        <f>M16*I16*0.001</f>
        <v>137.41326264222002</v>
      </c>
    </row>
    <row r="17" spans="1:15" ht="15.75">
      <c r="A17" s="3">
        <f>I17</f>
        <v>70.937007537999989</v>
      </c>
      <c r="B17" s="12"/>
      <c r="C17" s="17"/>
      <c r="H17" s="17" t="s">
        <v>21</v>
      </c>
      <c r="I17" s="22">
        <f>I10</f>
        <v>70.937007537999989</v>
      </c>
      <c r="J17" s="47">
        <v>0</v>
      </c>
      <c r="K17" s="47">
        <v>0</v>
      </c>
      <c r="M17" s="30"/>
      <c r="O17" s="34"/>
    </row>
    <row r="18" spans="1:15" ht="15.75">
      <c r="A18" s="3">
        <v>0</v>
      </c>
      <c r="B18" s="42" t="s">
        <v>31</v>
      </c>
      <c r="C18" s="43" t="s">
        <v>60</v>
      </c>
      <c r="D18" s="21">
        <v>180</v>
      </c>
      <c r="E18" t="s">
        <v>1</v>
      </c>
      <c r="F18" s="44" t="s">
        <v>40</v>
      </c>
      <c r="H18" s="17" t="s">
        <v>20</v>
      </c>
      <c r="I18" s="22">
        <f>IF(ABS(J18)&lt;O7,I10/3,0.85*I10/2)</f>
        <v>30.148228203649996</v>
      </c>
      <c r="J18" s="26">
        <f>-I10*J12/(D18+D12-I10)</f>
        <v>-2.3794305469911876</v>
      </c>
      <c r="K18" s="22">
        <f>IF(ABS(J18)&lt;O7,N7*J18/1000,-M7)</f>
        <v>-30</v>
      </c>
      <c r="L18" s="17" t="s">
        <v>25</v>
      </c>
      <c r="M18" s="22">
        <f>IF(ABS(J18)&lt;O7,K18*I10/2,0.85*K18*I10)</f>
        <v>-1808.8936922189996</v>
      </c>
      <c r="N18" s="43" t="s">
        <v>36</v>
      </c>
      <c r="O18" s="32">
        <f>M18*I18*0.001</f>
        <v>-54.534939829161424</v>
      </c>
    </row>
    <row r="19" spans="1:15" ht="14.25">
      <c r="B19" s="15"/>
      <c r="C19" s="7"/>
      <c r="D19" s="7"/>
      <c r="E19" s="7"/>
      <c r="F19" s="7"/>
      <c r="G19" s="7"/>
      <c r="H19" s="7"/>
      <c r="I19" s="7"/>
      <c r="J19" s="7"/>
      <c r="K19" s="7"/>
      <c r="L19" s="25" t="s">
        <v>3</v>
      </c>
      <c r="M19" s="35">
        <f>SUM(M11:M18)</f>
        <v>0</v>
      </c>
      <c r="N19" s="66" t="s">
        <v>58</v>
      </c>
      <c r="O19" s="67">
        <f>SUM(O11:O18)</f>
        <v>291.97565832105857</v>
      </c>
    </row>
  </sheetData>
  <mergeCells count="2">
    <mergeCell ref="F3:K3"/>
    <mergeCell ref="V2:V6"/>
  </mergeCells>
  <pageMargins left="0.39370078740157483" right="0.39370078740157483" top="0.59055118110236227" bottom="0.78740157480314965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DA0D-A1D2-45D8-8F3C-C51E0D131731}">
  <sheetPr codeName="Feuil3"/>
  <dimension ref="A1:V19"/>
  <sheetViews>
    <sheetView tabSelected="1" zoomScale="125" zoomScaleNormal="100" workbookViewId="0">
      <selection activeCell="Y5" sqref="Y5"/>
    </sheetView>
  </sheetViews>
  <sheetFormatPr baseColWidth="10" defaultColWidth="9.140625" defaultRowHeight="12.75"/>
  <cols>
    <col min="1" max="1" width="7.7109375" customWidth="1"/>
    <col min="2" max="2" width="14.7109375" customWidth="1"/>
    <col min="3" max="3" width="8.28515625" customWidth="1"/>
    <col min="4" max="4" width="9.140625" customWidth="1"/>
    <col min="5" max="5" width="8.28515625" customWidth="1"/>
    <col min="6" max="6" width="11.7109375" customWidth="1"/>
    <col min="7" max="7" width="12.28515625" customWidth="1"/>
    <col min="8" max="8" width="9" customWidth="1"/>
    <col min="9" max="9" width="10.5703125" customWidth="1"/>
    <col min="10" max="10" width="10.42578125" customWidth="1"/>
    <col min="11" max="11" width="9.140625" customWidth="1"/>
    <col min="12" max="12" width="11.42578125" customWidth="1"/>
    <col min="13" max="13" width="12.28515625" customWidth="1"/>
    <col min="14" max="14" width="10" customWidth="1"/>
    <col min="17" max="17" width="13" customWidth="1"/>
    <col min="18" max="18" width="6.140625" customWidth="1"/>
    <col min="19" max="19" width="5.5703125" customWidth="1"/>
    <col min="22" max="22" width="12.42578125" customWidth="1"/>
  </cols>
  <sheetData>
    <row r="1" spans="1:22" ht="16.5" customHeight="1">
      <c r="A1" s="1" t="s">
        <v>26</v>
      </c>
      <c r="M1" s="4"/>
      <c r="N1" s="37" t="s">
        <v>28</v>
      </c>
      <c r="O1" s="5"/>
      <c r="P1" s="49"/>
      <c r="Q1" s="50" t="s">
        <v>45</v>
      </c>
      <c r="R1" s="51"/>
      <c r="S1" s="51"/>
      <c r="T1" s="52"/>
    </row>
    <row r="2" spans="1:22" ht="16.5">
      <c r="A2" s="1" t="s">
        <v>27</v>
      </c>
      <c r="F2" s="69" t="s">
        <v>53</v>
      </c>
      <c r="G2" s="70"/>
      <c r="H2" s="70"/>
      <c r="I2" s="70"/>
      <c r="J2" s="70"/>
      <c r="K2" s="71"/>
      <c r="L2" s="64" t="s">
        <v>41</v>
      </c>
      <c r="M2" s="63"/>
      <c r="N2" s="38" t="s">
        <v>29</v>
      </c>
      <c r="O2" s="7"/>
      <c r="P2" s="53"/>
      <c r="Q2" s="54"/>
      <c r="R2" s="54"/>
      <c r="S2" s="54"/>
      <c r="T2" s="55"/>
      <c r="V2" s="75" t="s">
        <v>67</v>
      </c>
    </row>
    <row r="3" spans="1:22" ht="15.75">
      <c r="F3" s="72" t="s">
        <v>66</v>
      </c>
      <c r="G3" s="73"/>
      <c r="H3" s="73"/>
      <c r="I3" s="73"/>
      <c r="J3" s="73"/>
      <c r="K3" s="74"/>
      <c r="L3" s="65">
        <v>12</v>
      </c>
      <c r="P3" s="53"/>
      <c r="Q3" s="56" t="s">
        <v>30</v>
      </c>
      <c r="R3" s="57" t="s">
        <v>50</v>
      </c>
      <c r="S3" s="46">
        <v>0.9</v>
      </c>
      <c r="T3" s="55"/>
      <c r="V3" s="76"/>
    </row>
    <row r="4" spans="1:22" ht="15.75">
      <c r="B4" s="9"/>
      <c r="C4" s="5" t="s">
        <v>8</v>
      </c>
      <c r="D4" s="10" t="s">
        <v>6</v>
      </c>
      <c r="E4" s="11" t="s">
        <v>5</v>
      </c>
      <c r="F4" s="36" t="s">
        <v>57</v>
      </c>
      <c r="G4" s="36" t="s">
        <v>63</v>
      </c>
      <c r="H4" s="10" t="s">
        <v>32</v>
      </c>
      <c r="I4" s="36" t="s">
        <v>64</v>
      </c>
      <c r="J4" s="6"/>
      <c r="K4" s="9"/>
      <c r="L4" s="36" t="s">
        <v>42</v>
      </c>
      <c r="M4" s="10" t="s">
        <v>7</v>
      </c>
      <c r="N4" s="45" t="s">
        <v>43</v>
      </c>
      <c r="O4" s="28" t="s">
        <v>11</v>
      </c>
      <c r="P4" s="53"/>
      <c r="Q4" s="56" t="s">
        <v>52</v>
      </c>
      <c r="R4" s="57" t="s">
        <v>47</v>
      </c>
      <c r="S4" s="46">
        <v>1.5</v>
      </c>
      <c r="T4" s="55"/>
      <c r="V4" s="76"/>
    </row>
    <row r="5" spans="1:22" ht="15.75">
      <c r="B5" s="41" t="s">
        <v>54</v>
      </c>
      <c r="C5" s="13">
        <v>0</v>
      </c>
      <c r="D5" s="13">
        <v>18</v>
      </c>
      <c r="E5" s="13">
        <v>150</v>
      </c>
      <c r="F5" s="13">
        <v>450</v>
      </c>
      <c r="G5" s="22">
        <f>F5/S6</f>
        <v>391.304347826087</v>
      </c>
      <c r="H5" s="13">
        <v>100</v>
      </c>
      <c r="I5" s="13">
        <v>210000</v>
      </c>
      <c r="J5" s="19"/>
      <c r="K5" s="39" t="s">
        <v>30</v>
      </c>
      <c r="L5" s="22">
        <f>L3*S3/S4</f>
        <v>7.2</v>
      </c>
      <c r="M5" s="13">
        <v>5</v>
      </c>
      <c r="N5" s="14">
        <v>50000</v>
      </c>
      <c r="O5" s="29">
        <f>1000*L5/N5</f>
        <v>0.14399999999999999</v>
      </c>
      <c r="P5" s="53"/>
      <c r="Q5" s="58"/>
      <c r="R5" s="58"/>
      <c r="S5" s="54"/>
      <c r="T5" s="55"/>
      <c r="V5" s="76"/>
    </row>
    <row r="6" spans="1:22" ht="15.75">
      <c r="B6" s="41" t="s">
        <v>51</v>
      </c>
      <c r="C6" s="13">
        <v>14</v>
      </c>
      <c r="D6" s="13">
        <v>12</v>
      </c>
      <c r="E6" s="13">
        <v>100</v>
      </c>
      <c r="F6" s="13">
        <v>500</v>
      </c>
      <c r="G6" s="22">
        <f>F6/S6</f>
        <v>434.78260869565219</v>
      </c>
      <c r="H6" s="13">
        <v>100</v>
      </c>
      <c r="I6" s="13">
        <v>210000</v>
      </c>
      <c r="J6" s="19"/>
      <c r="K6" s="27"/>
      <c r="L6" s="36" t="s">
        <v>61</v>
      </c>
      <c r="M6" s="36" t="s">
        <v>62</v>
      </c>
      <c r="N6" s="36" t="s">
        <v>44</v>
      </c>
      <c r="O6" s="28" t="s">
        <v>12</v>
      </c>
      <c r="P6" s="53"/>
      <c r="Q6" s="56" t="s">
        <v>46</v>
      </c>
      <c r="R6" s="59" t="s">
        <v>48</v>
      </c>
      <c r="S6" s="46">
        <v>1.1499999999999999</v>
      </c>
      <c r="T6" s="55"/>
      <c r="V6" s="77"/>
    </row>
    <row r="7" spans="1:22">
      <c r="B7" s="15"/>
      <c r="C7" s="7"/>
      <c r="D7" s="7"/>
      <c r="E7" s="7"/>
      <c r="F7" s="7"/>
      <c r="G7" s="7"/>
      <c r="H7" s="7"/>
      <c r="I7" s="7"/>
      <c r="J7" s="8"/>
      <c r="K7" s="40" t="s">
        <v>31</v>
      </c>
      <c r="L7" s="16">
        <v>30</v>
      </c>
      <c r="M7" s="48">
        <f>L7/S8</f>
        <v>20</v>
      </c>
      <c r="N7" s="16">
        <v>35000</v>
      </c>
      <c r="O7" s="29">
        <f>1000*M7/N7</f>
        <v>0.5714285714285714</v>
      </c>
      <c r="P7" s="53"/>
      <c r="Q7" s="58"/>
      <c r="R7" s="58"/>
      <c r="S7" s="54"/>
      <c r="T7" s="55"/>
    </row>
    <row r="8" spans="1:22" ht="14.25">
      <c r="P8" s="53"/>
      <c r="Q8" s="56" t="s">
        <v>31</v>
      </c>
      <c r="R8" s="59" t="s">
        <v>49</v>
      </c>
      <c r="S8" s="46">
        <v>1.5</v>
      </c>
      <c r="T8" s="55"/>
    </row>
    <row r="9" spans="1:22">
      <c r="B9" s="9"/>
      <c r="C9" s="5"/>
      <c r="D9" s="11"/>
      <c r="E9" s="11"/>
      <c r="F9" s="5"/>
      <c r="G9" s="5"/>
      <c r="H9" s="5"/>
      <c r="I9" s="11" t="s">
        <v>1</v>
      </c>
      <c r="J9" s="10" t="s">
        <v>9</v>
      </c>
      <c r="K9" s="10" t="s">
        <v>10</v>
      </c>
      <c r="L9" s="5"/>
      <c r="M9" s="11" t="s">
        <v>14</v>
      </c>
      <c r="N9" s="5"/>
      <c r="O9" s="11" t="s">
        <v>2</v>
      </c>
      <c r="P9" s="60"/>
      <c r="Q9" s="61"/>
      <c r="R9" s="61"/>
      <c r="S9" s="61"/>
      <c r="T9" s="62"/>
    </row>
    <row r="10" spans="1:22" ht="15.75">
      <c r="B10" s="12"/>
      <c r="G10" s="68" t="s">
        <v>65</v>
      </c>
      <c r="H10" s="17" t="s">
        <v>21</v>
      </c>
      <c r="I10" s="18">
        <v>84.915278374373401</v>
      </c>
      <c r="O10" s="19"/>
    </row>
    <row r="11" spans="1:22">
      <c r="A11" s="2" t="s">
        <v>0</v>
      </c>
      <c r="B11" s="20"/>
      <c r="C11" s="2"/>
      <c r="D11" s="3"/>
      <c r="H11" s="17"/>
      <c r="I11" s="23"/>
      <c r="K11" s="30"/>
      <c r="L11" s="17"/>
      <c r="M11" s="23"/>
      <c r="N11" s="17"/>
      <c r="O11" s="24"/>
    </row>
    <row r="12" spans="1:22" ht="15.75">
      <c r="A12" s="3">
        <f>D18+D12</f>
        <v>220</v>
      </c>
      <c r="B12" s="42" t="s">
        <v>30</v>
      </c>
      <c r="C12" s="17" t="s">
        <v>15</v>
      </c>
      <c r="D12" s="21">
        <v>40</v>
      </c>
      <c r="E12" t="s">
        <v>1</v>
      </c>
      <c r="F12" s="44" t="s">
        <v>37</v>
      </c>
      <c r="H12" s="17" t="s">
        <v>17</v>
      </c>
      <c r="I12" s="22">
        <f>D18+D12/2</f>
        <v>200</v>
      </c>
      <c r="J12" s="13">
        <v>5</v>
      </c>
      <c r="K12" s="22">
        <f>IF(J12&lt;O5,N5*J12/1000,L5)</f>
        <v>7.2</v>
      </c>
      <c r="L12" s="17" t="s">
        <v>22</v>
      </c>
      <c r="M12" s="22">
        <f>(K12+K14)*D12*1000/(2*1000)</f>
        <v>288</v>
      </c>
      <c r="N12" s="43" t="s">
        <v>33</v>
      </c>
      <c r="O12" s="32">
        <f>M12*I12*0.001</f>
        <v>57.6</v>
      </c>
    </row>
    <row r="13" spans="1:22" ht="17.25" customHeight="1">
      <c r="A13" s="3">
        <f>I13</f>
        <v>200</v>
      </c>
      <c r="B13" s="20"/>
      <c r="C13" s="17" t="s">
        <v>16</v>
      </c>
      <c r="D13" s="22">
        <f>(1000/E6)*(3.141592653*D6^2/4)</f>
        <v>1130.9733550799999</v>
      </c>
      <c r="E13" t="s">
        <v>4</v>
      </c>
      <c r="F13" s="44" t="s">
        <v>38</v>
      </c>
      <c r="H13" s="17" t="s">
        <v>18</v>
      </c>
      <c r="I13" s="22">
        <f>D18+D12-C6-D6/2</f>
        <v>200</v>
      </c>
      <c r="J13" s="26">
        <f>J12*(I13-I10)/(D12+D18-I10)</f>
        <v>4.2597238325949274</v>
      </c>
      <c r="K13" s="22">
        <f>IF(J13&lt;(1000*G6/I6),I6*J13/1000,G6)</f>
        <v>434.78260869565219</v>
      </c>
      <c r="L13" s="17" t="s">
        <v>23</v>
      </c>
      <c r="M13" s="22">
        <f>K13*D13/1000</f>
        <v>491.72754568695649</v>
      </c>
      <c r="N13" s="43" t="s">
        <v>34</v>
      </c>
      <c r="O13" s="32">
        <f>M13*I13*0.001</f>
        <v>98.345509137391304</v>
      </c>
    </row>
    <row r="14" spans="1:22">
      <c r="A14" s="3">
        <f>D18</f>
        <v>180</v>
      </c>
      <c r="B14" s="20"/>
      <c r="C14" s="17"/>
      <c r="D14" s="3"/>
      <c r="F14" t="s">
        <v>13</v>
      </c>
      <c r="I14" s="30"/>
      <c r="J14" s="26">
        <f>J12*(D18-I10)/(D18+D12-I10)</f>
        <v>3.5194476651898543</v>
      </c>
      <c r="K14" s="22">
        <f>IF(J14&lt;O5,N5*J14/1000,L5)</f>
        <v>7.2</v>
      </c>
      <c r="L14" s="17"/>
      <c r="M14" s="3"/>
      <c r="N14" s="17"/>
      <c r="O14" s="33"/>
    </row>
    <row r="15" spans="1:22" ht="11.25" customHeight="1">
      <c r="A15" s="3"/>
      <c r="B15" s="31"/>
      <c r="C15" s="17"/>
      <c r="I15" s="30"/>
      <c r="M15" s="30"/>
      <c r="O15" s="34"/>
    </row>
    <row r="16" spans="1:22" ht="18" customHeight="1">
      <c r="A16" s="3">
        <f>I16</f>
        <v>180</v>
      </c>
      <c r="B16" s="20"/>
      <c r="C16" s="43" t="s">
        <v>55</v>
      </c>
      <c r="D16" s="22">
        <f>(1000/E5)*(3.141592653*D5^2/4)</f>
        <v>1696.46003262</v>
      </c>
      <c r="E16" t="s">
        <v>4</v>
      </c>
      <c r="F16" s="44" t="s">
        <v>39</v>
      </c>
      <c r="H16" s="17" t="s">
        <v>19</v>
      </c>
      <c r="I16" s="22">
        <f>D18</f>
        <v>180</v>
      </c>
      <c r="J16" s="26">
        <f>J12*(I16-I10)/(D18+D12-I10)</f>
        <v>3.5194476651898543</v>
      </c>
      <c r="K16" s="22">
        <f>IF(J16&lt;(1000*G5/I5),I5*J16/1000,G5)</f>
        <v>391.304347826087</v>
      </c>
      <c r="L16" s="17" t="s">
        <v>24</v>
      </c>
      <c r="M16" s="22">
        <f>K16*D16/1000</f>
        <v>663.83218667739141</v>
      </c>
      <c r="N16" s="43" t="s">
        <v>35</v>
      </c>
      <c r="O16" s="32">
        <f>M16*I16*0.001</f>
        <v>119.48979360193044</v>
      </c>
    </row>
    <row r="17" spans="1:15" ht="15.75">
      <c r="A17" s="3">
        <f>I17</f>
        <v>84.915278374373401</v>
      </c>
      <c r="B17" s="12"/>
      <c r="C17" s="17"/>
      <c r="H17" s="17" t="s">
        <v>21</v>
      </c>
      <c r="I17" s="22">
        <f>I10</f>
        <v>84.915278374373401</v>
      </c>
      <c r="J17" s="47">
        <v>0</v>
      </c>
      <c r="K17" s="47">
        <v>0</v>
      </c>
      <c r="M17" s="30"/>
      <c r="O17" s="34"/>
    </row>
    <row r="18" spans="1:15" ht="15.75">
      <c r="A18" s="3">
        <v>0</v>
      </c>
      <c r="B18" s="42" t="s">
        <v>31</v>
      </c>
      <c r="C18" s="43" t="s">
        <v>60</v>
      </c>
      <c r="D18" s="21">
        <v>180</v>
      </c>
      <c r="E18" t="s">
        <v>1</v>
      </c>
      <c r="F18" s="44" t="s">
        <v>40</v>
      </c>
      <c r="H18" s="17" t="s">
        <v>20</v>
      </c>
      <c r="I18" s="22">
        <f>IF(ABS(J18)&lt;O7,I10/3,0.85*I10/2)</f>
        <v>36.088993309108695</v>
      </c>
      <c r="J18" s="26">
        <f>-I10*J12/(D18+D12-I10)</f>
        <v>-3.1430378414557998</v>
      </c>
      <c r="K18" s="22">
        <f>IF(ABS(J18)&lt;O7,N7*J18/1000,-M7)</f>
        <v>-20</v>
      </c>
      <c r="L18" s="17" t="s">
        <v>25</v>
      </c>
      <c r="M18" s="22">
        <f>IF(ABS(J18)&lt;O7,K18*I10/2,0.85*K18*I10)</f>
        <v>-1443.5597323643478</v>
      </c>
      <c r="N18" s="43" t="s">
        <v>36</v>
      </c>
      <c r="O18" s="32">
        <f>M18*I18*0.001</f>
        <v>-52.096617522595693</v>
      </c>
    </row>
    <row r="19" spans="1:15" ht="14.25">
      <c r="B19" s="15"/>
      <c r="C19" s="7"/>
      <c r="D19" s="7"/>
      <c r="E19" s="7"/>
      <c r="F19" s="7"/>
      <c r="G19" s="7"/>
      <c r="H19" s="7"/>
      <c r="I19" s="7"/>
      <c r="J19" s="7"/>
      <c r="K19" s="7"/>
      <c r="L19" s="25" t="s">
        <v>3</v>
      </c>
      <c r="M19" s="35">
        <f>SUM(M11:M18)</f>
        <v>0</v>
      </c>
      <c r="N19" s="66" t="s">
        <v>59</v>
      </c>
      <c r="O19" s="67">
        <f>SUM(O11:O18)</f>
        <v>223.33868521672605</v>
      </c>
    </row>
  </sheetData>
  <mergeCells count="2">
    <mergeCell ref="F3:K3"/>
    <mergeCell ref="V2:V6"/>
  </mergeCells>
  <pageMargins left="0.39370078740157483" right="0.39370078740157483" top="0.59055118110236227" bottom="0.78740157480314965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ULS - Only RC - Characteristic</vt:lpstr>
      <vt:lpstr>ULS - Characteristic</vt:lpstr>
      <vt:lpstr>ULS - design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Emmanuel Denarié</cp:lastModifiedBy>
  <cp:lastPrinted>2007-05-16T11:30:06Z</cp:lastPrinted>
  <dcterms:created xsi:type="dcterms:W3CDTF">1996-10-14T23:33:28Z</dcterms:created>
  <dcterms:modified xsi:type="dcterms:W3CDTF">2025-12-01T18:18:49Z</dcterms:modified>
</cp:coreProperties>
</file>